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R:\Macro_monetary\Infrastructure\NZ historical\"/>
    </mc:Choice>
  </mc:AlternateContent>
  <bookViews>
    <workbookView xWindow="0" yWindow="0" windowWidth="28800" windowHeight="12435"/>
  </bookViews>
  <sheets>
    <sheet name="Notes" sheetId="6" r:id="rId1"/>
    <sheet name="final" sheetId="2" r:id="rId2"/>
    <sheet name="Working1" sheetId="1" r:id="rId3"/>
    <sheet name="Working2" sheetId="4" r:id="rId4"/>
    <sheet name="final-graphs" sheetId="5" r:id="rId5"/>
    <sheet name="Infrastructure data" sheetId="7" r:id="rId6"/>
    <sheet name="Data sources" sheetId="8" r:id="rId7"/>
  </sheets>
  <calcPr calcId="152511"/>
</workbook>
</file>

<file path=xl/calcChain.xml><?xml version="1.0" encoding="utf-8"?>
<calcChain xmlns="http://schemas.openxmlformats.org/spreadsheetml/2006/main">
  <c r="EE62" i="7" l="1"/>
  <c r="AR62" i="7"/>
  <c r="AQ62" i="7"/>
  <c r="AP62" i="7"/>
  <c r="AF62" i="7"/>
  <c r="AE62" i="7"/>
  <c r="O62" i="7"/>
  <c r="EE61" i="7"/>
  <c r="AR61" i="7"/>
  <c r="AQ61" i="7"/>
  <c r="AP61" i="7"/>
  <c r="AO61" i="7"/>
  <c r="AF61" i="7"/>
  <c r="AE61" i="7"/>
  <c r="O61" i="7"/>
  <c r="EE60" i="7"/>
  <c r="AR60" i="7"/>
  <c r="AQ60" i="7"/>
  <c r="AP60" i="7"/>
  <c r="AO60" i="7"/>
  <c r="AD60" i="7"/>
  <c r="AC60" i="7"/>
  <c r="O60" i="7"/>
  <c r="EE59" i="7"/>
  <c r="AR59" i="7"/>
  <c r="AQ59" i="7"/>
  <c r="AP59" i="7"/>
  <c r="AO59" i="7"/>
  <c r="AF59" i="7"/>
  <c r="O59" i="7"/>
  <c r="EE58" i="7"/>
  <c r="AR58" i="7"/>
  <c r="AQ58" i="7"/>
  <c r="AP58" i="7"/>
  <c r="AO58" i="7"/>
  <c r="AF58" i="7"/>
  <c r="AE58" i="7"/>
  <c r="O58" i="7"/>
  <c r="EE57" i="7"/>
  <c r="AR57" i="7"/>
  <c r="AQ57" i="7"/>
  <c r="AP57" i="7"/>
  <c r="AO57" i="7"/>
  <c r="AF57" i="7"/>
  <c r="AE57" i="7"/>
  <c r="O57" i="7"/>
  <c r="EE56" i="7"/>
  <c r="AR56" i="7"/>
  <c r="AQ56" i="7"/>
  <c r="AP56" i="7"/>
  <c r="AO56" i="7"/>
  <c r="AF56" i="7"/>
  <c r="AE56" i="7"/>
  <c r="O56" i="7"/>
  <c r="EE55" i="7"/>
  <c r="AR55" i="7"/>
  <c r="AQ55" i="7"/>
  <c r="AP55" i="7"/>
  <c r="AO55" i="7"/>
  <c r="AF55" i="7"/>
  <c r="AE55" i="7"/>
  <c r="O55" i="7"/>
  <c r="EE54" i="7"/>
  <c r="AR54" i="7"/>
  <c r="AQ54" i="7"/>
  <c r="AP54" i="7"/>
  <c r="AO54" i="7"/>
  <c r="AD54" i="7"/>
  <c r="AC54" i="7"/>
  <c r="O54" i="7"/>
  <c r="EE53" i="7"/>
  <c r="AR53" i="7"/>
  <c r="AQ53" i="7"/>
  <c r="AP53" i="7"/>
  <c r="AO53" i="7"/>
  <c r="AF53" i="7"/>
  <c r="AE53" i="7"/>
  <c r="O53" i="7"/>
  <c r="EE52" i="7"/>
  <c r="AR52" i="7"/>
  <c r="AQ52" i="7"/>
  <c r="AP52" i="7"/>
  <c r="AO52" i="7"/>
  <c r="O52" i="7"/>
  <c r="EE51" i="7"/>
  <c r="AR51" i="7"/>
  <c r="AQ51" i="7"/>
  <c r="AP51" i="7"/>
  <c r="AO51" i="7"/>
  <c r="AD51" i="7"/>
  <c r="AC51" i="7"/>
  <c r="O51" i="7"/>
  <c r="EE50" i="7"/>
  <c r="AR50" i="7"/>
  <c r="AQ50" i="7"/>
  <c r="AP50" i="7"/>
  <c r="AO50" i="7"/>
  <c r="AD50" i="7"/>
  <c r="AC50" i="7"/>
  <c r="O50" i="7"/>
  <c r="EE49" i="7"/>
  <c r="AR49" i="7"/>
  <c r="AQ49" i="7"/>
  <c r="AP49" i="7"/>
  <c r="AO49" i="7"/>
  <c r="AF49" i="7"/>
  <c r="AE49" i="7"/>
  <c r="O49" i="7"/>
  <c r="EE48" i="7"/>
  <c r="AR48" i="7"/>
  <c r="AQ48" i="7"/>
  <c r="AP48" i="7"/>
  <c r="AO48" i="7"/>
  <c r="AF48" i="7"/>
  <c r="AE48" i="7"/>
  <c r="O48" i="7"/>
  <c r="EE47" i="7"/>
  <c r="AR47" i="7"/>
  <c r="AQ47" i="7"/>
  <c r="AP47" i="7"/>
  <c r="AO47" i="7"/>
  <c r="AF47" i="7"/>
  <c r="AE47" i="7"/>
  <c r="O47" i="7"/>
  <c r="EE46" i="7"/>
  <c r="AR46" i="7"/>
  <c r="AQ46" i="7"/>
  <c r="AP46" i="7"/>
  <c r="AO46" i="7"/>
  <c r="AF46" i="7"/>
  <c r="AE46" i="7"/>
  <c r="O46" i="7"/>
  <c r="EE45" i="7"/>
  <c r="AR45" i="7"/>
  <c r="AQ45" i="7"/>
  <c r="AP45" i="7"/>
  <c r="AO45" i="7"/>
  <c r="AF45" i="7"/>
  <c r="AE45" i="7"/>
  <c r="O45" i="7"/>
  <c r="EE44" i="7"/>
  <c r="AR44" i="7"/>
  <c r="AQ44" i="7"/>
  <c r="AP44" i="7"/>
  <c r="AO44" i="7"/>
  <c r="AF44" i="7"/>
  <c r="AE44" i="7"/>
  <c r="O44" i="7"/>
  <c r="EE43" i="7"/>
  <c r="AR43" i="7"/>
  <c r="AQ43" i="7"/>
  <c r="AP43" i="7"/>
  <c r="AO43" i="7"/>
  <c r="AF43" i="7"/>
  <c r="AE43" i="7"/>
  <c r="O43" i="7"/>
  <c r="EE42" i="7"/>
  <c r="AR42" i="7"/>
  <c r="AQ42" i="7"/>
  <c r="AP42" i="7"/>
  <c r="AO42" i="7"/>
  <c r="AF42" i="7"/>
  <c r="AE42" i="7"/>
  <c r="O42" i="7"/>
  <c r="EE41" i="7"/>
  <c r="AR41" i="7"/>
  <c r="AQ41" i="7"/>
  <c r="AP41" i="7"/>
  <c r="AO41" i="7"/>
  <c r="AD41" i="7"/>
  <c r="AC41" i="7"/>
  <c r="O41" i="7"/>
  <c r="EE40" i="7"/>
  <c r="AR40" i="7"/>
  <c r="AQ40" i="7"/>
  <c r="AP40" i="7"/>
  <c r="AO40" i="7"/>
  <c r="AF40" i="7"/>
  <c r="AE40" i="7"/>
  <c r="O40" i="7"/>
  <c r="EE39" i="7"/>
  <c r="AR39" i="7"/>
  <c r="AQ39" i="7"/>
  <c r="AP39" i="7"/>
  <c r="AO39" i="7"/>
  <c r="AF39" i="7"/>
  <c r="AE39" i="7"/>
  <c r="O39" i="7"/>
  <c r="EE38" i="7"/>
  <c r="AR38" i="7"/>
  <c r="AQ38" i="7"/>
  <c r="AP38" i="7"/>
  <c r="AO38" i="7"/>
  <c r="AF38" i="7"/>
  <c r="AE38" i="7"/>
  <c r="O38" i="7"/>
  <c r="EE37" i="7"/>
  <c r="AR37" i="7"/>
  <c r="AQ37" i="7"/>
  <c r="AP37" i="7"/>
  <c r="AO37" i="7"/>
  <c r="AF37" i="7"/>
  <c r="AE37" i="7"/>
  <c r="O37" i="7"/>
  <c r="EE36" i="7"/>
  <c r="AR36" i="7"/>
  <c r="AQ36" i="7"/>
  <c r="AP36" i="7"/>
  <c r="AO36" i="7"/>
  <c r="AD36" i="7"/>
  <c r="AC36" i="7"/>
  <c r="O36" i="7"/>
  <c r="EE35" i="7"/>
  <c r="AR35" i="7"/>
  <c r="AQ35" i="7"/>
  <c r="AP35" i="7"/>
  <c r="AO35" i="7"/>
  <c r="AF35" i="7"/>
  <c r="AE35" i="7"/>
  <c r="O35" i="7"/>
  <c r="EE34" i="7"/>
  <c r="AR34" i="7"/>
  <c r="AQ34" i="7"/>
  <c r="AP34" i="7"/>
  <c r="AO34" i="7"/>
  <c r="AD34" i="7"/>
  <c r="AC34" i="7"/>
  <c r="O34" i="7"/>
  <c r="EE33" i="7"/>
  <c r="AR33" i="7"/>
  <c r="AQ33" i="7"/>
  <c r="AP33" i="7"/>
  <c r="AO33" i="7"/>
  <c r="AF33" i="7"/>
  <c r="AE33" i="7"/>
  <c r="O33" i="7"/>
  <c r="EE32" i="7"/>
  <c r="AR32" i="7"/>
  <c r="AQ32" i="7"/>
  <c r="AP32" i="7"/>
  <c r="AO32" i="7"/>
  <c r="AF32" i="7"/>
  <c r="AE32" i="7"/>
  <c r="O32" i="7"/>
  <c r="EE31" i="7"/>
  <c r="AR31" i="7"/>
  <c r="AQ31" i="7"/>
  <c r="AP31" i="7"/>
  <c r="AO31" i="7"/>
  <c r="AD31" i="7"/>
  <c r="AC31" i="7"/>
  <c r="O31" i="7"/>
  <c r="EE30" i="7"/>
  <c r="AR30" i="7"/>
  <c r="AQ30" i="7"/>
  <c r="AP30" i="7"/>
  <c r="AO30" i="7"/>
  <c r="AF30" i="7"/>
  <c r="AE30" i="7"/>
  <c r="O30" i="7"/>
  <c r="EE29" i="7"/>
  <c r="AR29" i="7"/>
  <c r="AQ29" i="7"/>
  <c r="AP29" i="7"/>
  <c r="AO29" i="7"/>
  <c r="AF29" i="7"/>
  <c r="AE29" i="7"/>
  <c r="O29" i="7"/>
  <c r="EE28" i="7"/>
  <c r="AR28" i="7"/>
  <c r="AQ28" i="7"/>
  <c r="AP28" i="7"/>
  <c r="AO28" i="7"/>
  <c r="AF28" i="7"/>
  <c r="AE28" i="7"/>
  <c r="O28" i="7"/>
  <c r="EE27" i="7"/>
  <c r="AR27" i="7"/>
  <c r="AQ27" i="7"/>
  <c r="AP27" i="7"/>
  <c r="AO27" i="7"/>
  <c r="AF27" i="7"/>
  <c r="AE27" i="7"/>
  <c r="O27" i="7"/>
  <c r="EE26" i="7"/>
  <c r="AR26" i="7"/>
  <c r="AQ26" i="7"/>
  <c r="AP26" i="7"/>
  <c r="AO26" i="7"/>
  <c r="AD26" i="7"/>
  <c r="AC26" i="7"/>
  <c r="O26" i="7"/>
  <c r="EE25" i="7"/>
  <c r="AR25" i="7"/>
  <c r="AQ25" i="7"/>
  <c r="AP25" i="7"/>
  <c r="AO25" i="7"/>
  <c r="AD25" i="7"/>
  <c r="AC25" i="7"/>
  <c r="O25" i="7"/>
  <c r="EE24" i="7"/>
  <c r="AR24" i="7"/>
  <c r="AQ24" i="7"/>
  <c r="AP24" i="7"/>
  <c r="AO24" i="7"/>
  <c r="AF24" i="7"/>
  <c r="AE24" i="7"/>
  <c r="O24" i="7"/>
  <c r="EE23" i="7"/>
  <c r="AR23" i="7"/>
  <c r="AQ23" i="7"/>
  <c r="AP23" i="7"/>
  <c r="AO23" i="7"/>
  <c r="AD23" i="7"/>
  <c r="AC23" i="7"/>
  <c r="O23" i="7"/>
  <c r="EE22" i="7"/>
  <c r="AR22" i="7"/>
  <c r="AQ22" i="7"/>
  <c r="AP22" i="7"/>
  <c r="AO22" i="7"/>
  <c r="AF22" i="7"/>
  <c r="AE22" i="7"/>
  <c r="O22" i="7"/>
  <c r="EE21" i="7"/>
  <c r="AR21" i="7"/>
  <c r="AQ21" i="7"/>
  <c r="AP21" i="7"/>
  <c r="AO21" i="7"/>
  <c r="AF21" i="7"/>
  <c r="AE21" i="7"/>
  <c r="O21" i="7"/>
  <c r="EE20" i="7"/>
  <c r="AR20" i="7"/>
  <c r="AQ20" i="7"/>
  <c r="AP20" i="7"/>
  <c r="AO20" i="7"/>
  <c r="AF20" i="7"/>
  <c r="AE20" i="7"/>
  <c r="O20" i="7"/>
  <c r="EE19" i="7"/>
  <c r="AR19" i="7"/>
  <c r="AQ19" i="7"/>
  <c r="AP19" i="7"/>
  <c r="AO19" i="7"/>
  <c r="AD19" i="7"/>
  <c r="AC19" i="7"/>
  <c r="O19" i="7"/>
  <c r="EE18" i="7"/>
  <c r="AR18" i="7"/>
  <c r="AQ18" i="7"/>
  <c r="AP18" i="7"/>
  <c r="AO18" i="7"/>
  <c r="AD18" i="7"/>
  <c r="AC18" i="7"/>
  <c r="O18" i="7"/>
  <c r="EE17" i="7"/>
  <c r="AR17" i="7"/>
  <c r="AQ17" i="7"/>
  <c r="AP17" i="7"/>
  <c r="AO17" i="7"/>
  <c r="AF17" i="7"/>
  <c r="AE17" i="7"/>
  <c r="O17" i="7"/>
  <c r="EE16" i="7"/>
  <c r="AR16" i="7"/>
  <c r="AQ16" i="7"/>
  <c r="AP16" i="7"/>
  <c r="AO16" i="7"/>
  <c r="AF16" i="7"/>
  <c r="AE16" i="7"/>
  <c r="O16" i="7"/>
  <c r="EE15" i="7"/>
  <c r="AR15" i="7"/>
  <c r="AQ15" i="7"/>
  <c r="AP15" i="7"/>
  <c r="AO15" i="7"/>
  <c r="AF15" i="7"/>
  <c r="AE15" i="7"/>
  <c r="O15" i="7"/>
  <c r="EE14" i="7"/>
  <c r="AR14" i="7"/>
  <c r="AQ14" i="7"/>
  <c r="AP14" i="7"/>
  <c r="AO14" i="7"/>
  <c r="AF14" i="7"/>
  <c r="AE14" i="7"/>
  <c r="O14" i="7"/>
  <c r="EE13" i="7"/>
  <c r="AR13" i="7"/>
  <c r="AQ13" i="7"/>
  <c r="AP13" i="7"/>
  <c r="AO13" i="7"/>
  <c r="AD13" i="7"/>
  <c r="O13" i="7"/>
  <c r="EE12" i="7"/>
  <c r="AR12" i="7"/>
  <c r="AQ12" i="7"/>
  <c r="AP12" i="7"/>
  <c r="AO12" i="7"/>
  <c r="AF12" i="7"/>
  <c r="AE12" i="7"/>
  <c r="O12" i="7"/>
  <c r="EE11" i="7"/>
  <c r="AR11" i="7"/>
  <c r="AQ11" i="7"/>
  <c r="AP11" i="7"/>
  <c r="AO11" i="7"/>
  <c r="AF11" i="7"/>
  <c r="AE11" i="7"/>
  <c r="O11" i="7"/>
  <c r="EE10" i="7"/>
  <c r="AR10" i="7"/>
  <c r="AQ10" i="7"/>
  <c r="AP10" i="7"/>
  <c r="AO10" i="7"/>
  <c r="AC10" i="7"/>
  <c r="O10" i="7"/>
  <c r="EE9" i="7"/>
  <c r="AR9" i="7"/>
  <c r="AQ9" i="7"/>
  <c r="AP9" i="7"/>
  <c r="AO9" i="7"/>
  <c r="AF9" i="7"/>
  <c r="AE9" i="7"/>
  <c r="O9" i="7"/>
  <c r="EE8" i="7"/>
  <c r="AR8" i="7"/>
  <c r="AQ8" i="7"/>
  <c r="AP8" i="7"/>
  <c r="AO8" i="7"/>
  <c r="AF8" i="7"/>
  <c r="AE8" i="7"/>
  <c r="O8" i="7"/>
  <c r="EE7" i="7"/>
  <c r="AR7" i="7"/>
  <c r="AQ7" i="7"/>
  <c r="AP7" i="7"/>
  <c r="AO7" i="7"/>
  <c r="AD7" i="7"/>
  <c r="AC7" i="7"/>
  <c r="O7" i="7"/>
  <c r="EE6" i="7"/>
  <c r="CC6" i="7"/>
  <c r="CB6" i="7"/>
  <c r="AR6" i="7"/>
  <c r="AQ6" i="7"/>
  <c r="AP6" i="7"/>
  <c r="AO6" i="7"/>
  <c r="AD6" i="7"/>
  <c r="AC6" i="7"/>
  <c r="O6" i="7"/>
  <c r="EE5" i="7"/>
  <c r="AR5" i="7"/>
  <c r="AQ5" i="7"/>
  <c r="AP5" i="7"/>
  <c r="AO5" i="7"/>
  <c r="AD5" i="7"/>
  <c r="AC5" i="7"/>
  <c r="O5" i="7"/>
  <c r="EE4" i="7"/>
  <c r="BT4" i="7"/>
  <c r="AR4" i="7"/>
  <c r="AQ4" i="7"/>
  <c r="AP4" i="7"/>
  <c r="AO4" i="7"/>
  <c r="AE4" i="7"/>
  <c r="O4" i="7"/>
  <c r="EE3" i="7"/>
  <c r="AR3" i="7"/>
  <c r="AQ3" i="7"/>
  <c r="AP3" i="7"/>
  <c r="AO3" i="7"/>
  <c r="AD3" i="7"/>
  <c r="AC3" i="7"/>
  <c r="O3" i="7"/>
  <c r="G84" i="4"/>
  <c r="H78" i="4"/>
  <c r="G78" i="4"/>
  <c r="F78" i="4"/>
  <c r="E78" i="4"/>
  <c r="D78" i="4"/>
  <c r="C78" i="4"/>
  <c r="B78" i="4"/>
  <c r="E72" i="4"/>
  <c r="G85" i="4" s="1"/>
  <c r="E71" i="4"/>
  <c r="F84" i="4" s="1"/>
  <c r="E70" i="4"/>
  <c r="E83" i="4" s="1"/>
  <c r="D70" i="4"/>
  <c r="C84" i="4" l="1"/>
  <c r="E84" i="4"/>
  <c r="B83" i="4"/>
  <c r="F83" i="4"/>
  <c r="D85" i="4"/>
  <c r="H85" i="4"/>
  <c r="C83" i="4"/>
  <c r="G83" i="4"/>
  <c r="D84" i="4"/>
  <c r="H84" i="4"/>
  <c r="E85" i="4"/>
  <c r="D83" i="4"/>
  <c r="H83" i="4"/>
  <c r="B85" i="4"/>
  <c r="F85" i="4"/>
  <c r="B84" i="4"/>
  <c r="C85" i="4"/>
  <c r="I4" i="1" l="1"/>
  <c r="I5" i="1"/>
  <c r="I6" i="1"/>
  <c r="D42" i="1" s="1"/>
  <c r="I7" i="1"/>
  <c r="I8" i="1"/>
  <c r="I9" i="1"/>
  <c r="D9" i="1" s="1"/>
  <c r="I10" i="1"/>
  <c r="G44" i="1" s="1"/>
  <c r="I11" i="1"/>
  <c r="D11" i="1" s="1"/>
  <c r="E11" i="1" s="1"/>
  <c r="I12" i="1"/>
  <c r="G57" i="1" s="1"/>
  <c r="I13" i="1"/>
  <c r="G58" i="1" s="1"/>
  <c r="I14" i="1"/>
  <c r="G59" i="1" s="1"/>
  <c r="I15" i="1"/>
  <c r="D61" i="1" s="1"/>
  <c r="I16" i="1"/>
  <c r="I17" i="1"/>
  <c r="D17" i="1" s="1"/>
  <c r="E17" i="1" s="1"/>
  <c r="I18" i="1"/>
  <c r="D18" i="1" s="1"/>
  <c r="E18" i="1" s="1"/>
  <c r="I19" i="1"/>
  <c r="D51" i="1" s="1"/>
  <c r="I20" i="1"/>
  <c r="I21" i="1"/>
  <c r="G62" i="1" s="1"/>
  <c r="I22" i="1"/>
  <c r="G63" i="1" s="1"/>
  <c r="I23" i="1"/>
  <c r="G65" i="1" s="1"/>
  <c r="I24" i="1"/>
  <c r="G66" i="1" s="1"/>
  <c r="L31" i="1"/>
  <c r="U33" i="1"/>
  <c r="N33" i="1" s="1"/>
  <c r="U32" i="1"/>
  <c r="L32" i="1" s="1"/>
  <c r="U30" i="1"/>
  <c r="L30" i="1" s="1"/>
  <c r="U29" i="1"/>
  <c r="N29" i="1" s="1"/>
  <c r="U28" i="1"/>
  <c r="L28" i="1" s="1"/>
  <c r="U26" i="1"/>
  <c r="R26" i="1" s="1"/>
  <c r="U25" i="1"/>
  <c r="N25" i="1" s="1"/>
  <c r="U20" i="1"/>
  <c r="L20" i="1" s="1"/>
  <c r="U16" i="1"/>
  <c r="U9" i="1"/>
  <c r="R9" i="1" s="1"/>
  <c r="U5" i="1"/>
  <c r="L5" i="1" s="1"/>
  <c r="G6" i="1"/>
  <c r="H6" i="1" s="1"/>
  <c r="G34" i="1"/>
  <c r="W2" i="1"/>
  <c r="W3" i="1"/>
  <c r="W4" i="1"/>
  <c r="W5" i="1"/>
  <c r="Y5" i="1" s="1"/>
  <c r="W6" i="1"/>
  <c r="W7" i="1"/>
  <c r="W8" i="1"/>
  <c r="W9" i="1"/>
  <c r="W10" i="1"/>
  <c r="W11" i="1"/>
  <c r="W12" i="1"/>
  <c r="W13" i="1"/>
  <c r="W14" i="1"/>
  <c r="W15" i="1"/>
  <c r="W16" i="1"/>
  <c r="W17" i="1"/>
  <c r="W18" i="1"/>
  <c r="W19" i="1"/>
  <c r="W20" i="1"/>
  <c r="W21" i="1"/>
  <c r="W22" i="1"/>
  <c r="W23" i="1"/>
  <c r="W24" i="1"/>
  <c r="W25" i="1"/>
  <c r="AA25" i="1" s="1"/>
  <c r="W26" i="1"/>
  <c r="AA26" i="1" s="1"/>
  <c r="W27" i="1"/>
  <c r="AA27" i="1" s="1"/>
  <c r="W28" i="1"/>
  <c r="AA28" i="1" s="1"/>
  <c r="W29" i="1"/>
  <c r="AA29" i="1" s="1"/>
  <c r="W30" i="1"/>
  <c r="AA30" i="1" s="1"/>
  <c r="W31" i="1"/>
  <c r="AA31" i="1" s="1"/>
  <c r="W32" i="1"/>
  <c r="Y32" i="1" s="1"/>
  <c r="W33" i="1"/>
  <c r="AA33" i="1" s="1"/>
  <c r="W34" i="1"/>
  <c r="AA34" i="1" s="1"/>
  <c r="W35" i="1"/>
  <c r="AA35" i="1" s="1"/>
  <c r="W36" i="1"/>
  <c r="Y36" i="1" s="1"/>
  <c r="W37" i="1"/>
  <c r="AA37" i="1" s="1"/>
  <c r="W38" i="1"/>
  <c r="AA38" i="1" s="1"/>
  <c r="W39" i="1"/>
  <c r="AA39" i="1" s="1"/>
  <c r="W40" i="1"/>
  <c r="Y40" i="1" s="1"/>
  <c r="W41" i="1"/>
  <c r="AA41" i="1" s="1"/>
  <c r="W42" i="1"/>
  <c r="AA42" i="1" s="1"/>
  <c r="W43" i="1"/>
  <c r="AA43" i="1" s="1"/>
  <c r="W44" i="1"/>
  <c r="Y44" i="1" s="1"/>
  <c r="W45" i="1"/>
  <c r="AA45" i="1" s="1"/>
  <c r="W46" i="1"/>
  <c r="AA46" i="1" s="1"/>
  <c r="W47" i="1"/>
  <c r="AA47" i="1" s="1"/>
  <c r="W48" i="1"/>
  <c r="Y48" i="1" s="1"/>
  <c r="W49" i="1"/>
  <c r="AA49" i="1" s="1"/>
  <c r="W50" i="1"/>
  <c r="AA50" i="1" s="1"/>
  <c r="W51" i="1"/>
  <c r="AA51" i="1" s="1"/>
  <c r="W52" i="1"/>
  <c r="AA52" i="1" s="1"/>
  <c r="W53" i="1"/>
  <c r="AA53" i="1" s="1"/>
  <c r="W54" i="1"/>
  <c r="AA54" i="1" s="1"/>
  <c r="W55" i="1"/>
  <c r="AA55" i="1" s="1"/>
  <c r="W56" i="1"/>
  <c r="AA56" i="1" s="1"/>
  <c r="W57" i="1"/>
  <c r="AA57" i="1" s="1"/>
  <c r="W58" i="1"/>
  <c r="AA58" i="1" s="1"/>
  <c r="W59" i="1"/>
  <c r="AA59" i="1" s="1"/>
  <c r="W60" i="1"/>
  <c r="AA60" i="1" s="1"/>
  <c r="W61" i="1"/>
  <c r="AA61" i="1" s="1"/>
  <c r="W62" i="1"/>
  <c r="AA62" i="1" s="1"/>
  <c r="W63" i="1"/>
  <c r="AA63" i="1" s="1"/>
  <c r="W64" i="1"/>
  <c r="AA64" i="1" s="1"/>
  <c r="W65" i="1"/>
  <c r="AA65" i="1" s="1"/>
  <c r="W66" i="1"/>
  <c r="AA66" i="1" s="1"/>
  <c r="E9" i="1" l="1"/>
  <c r="D38" i="1"/>
  <c r="G50" i="1"/>
  <c r="G60" i="1"/>
  <c r="H26" i="1"/>
  <c r="G28" i="1"/>
  <c r="H28" i="1" s="1"/>
  <c r="G32" i="1"/>
  <c r="H32" i="1" s="1"/>
  <c r="G51" i="1"/>
  <c r="G61" i="1"/>
  <c r="E26" i="1"/>
  <c r="D28" i="1"/>
  <c r="E28" i="1" s="1"/>
  <c r="D32" i="1"/>
  <c r="E32" i="1" s="1"/>
  <c r="R25" i="1"/>
  <c r="P28" i="1"/>
  <c r="N30" i="1"/>
  <c r="L33" i="1"/>
  <c r="D8" i="1"/>
  <c r="E8" i="1" s="1"/>
  <c r="D55" i="1"/>
  <c r="R5" i="1"/>
  <c r="R30" i="1"/>
  <c r="P33" i="1"/>
  <c r="G56" i="1"/>
  <c r="D6" i="1"/>
  <c r="E6" i="1" s="1"/>
  <c r="D36" i="1"/>
  <c r="R28" i="1"/>
  <c r="R33" i="1"/>
  <c r="P30" i="1"/>
  <c r="N28" i="1"/>
  <c r="L25" i="1"/>
  <c r="P9" i="1"/>
  <c r="P20" i="1"/>
  <c r="N9" i="1"/>
  <c r="N20" i="1"/>
  <c r="L29" i="1"/>
  <c r="Y30" i="1"/>
  <c r="R20" i="1"/>
  <c r="R29" i="1"/>
  <c r="R32" i="1"/>
  <c r="P5" i="1"/>
  <c r="P25" i="1"/>
  <c r="P29" i="1"/>
  <c r="P32" i="1"/>
  <c r="N5" i="1"/>
  <c r="N32" i="1"/>
  <c r="Y50" i="1"/>
  <c r="Y46" i="1"/>
  <c r="Y42" i="1"/>
  <c r="Y38" i="1"/>
  <c r="Y34" i="1"/>
  <c r="AA48" i="1"/>
  <c r="AA44" i="1"/>
  <c r="AA40" i="1"/>
  <c r="AA36" i="1"/>
  <c r="AA32" i="1"/>
  <c r="G22" i="1"/>
  <c r="H22" i="1" s="1"/>
  <c r="G12" i="1"/>
  <c r="H12" i="1" s="1"/>
  <c r="D22" i="1"/>
  <c r="E22" i="1" s="1"/>
  <c r="D12" i="1"/>
  <c r="E12" i="1" s="1"/>
  <c r="D33" i="1"/>
  <c r="E33" i="1" s="1"/>
  <c r="D49" i="1"/>
  <c r="D57" i="1"/>
  <c r="D63" i="1"/>
  <c r="G24" i="1"/>
  <c r="H24" i="1" s="1"/>
  <c r="G14" i="1"/>
  <c r="H14" i="1" s="1"/>
  <c r="G10" i="1"/>
  <c r="H10" i="1" s="1"/>
  <c r="D24" i="1"/>
  <c r="E24" i="1" s="1"/>
  <c r="D14" i="1"/>
  <c r="E14" i="1" s="1"/>
  <c r="D10" i="1"/>
  <c r="E10" i="1" s="1"/>
  <c r="D7" i="1"/>
  <c r="E7" i="1" s="1"/>
  <c r="D27" i="1"/>
  <c r="E27" i="1" s="1"/>
  <c r="D35" i="1"/>
  <c r="D37" i="1"/>
  <c r="D41" i="1"/>
  <c r="D44" i="1"/>
  <c r="D53" i="1"/>
  <c r="D56" i="1"/>
  <c r="D59" i="1"/>
  <c r="D66" i="1"/>
  <c r="Y25" i="1"/>
  <c r="Y65" i="1"/>
  <c r="Y63" i="1"/>
  <c r="Y61" i="1"/>
  <c r="Y59" i="1"/>
  <c r="Y57" i="1"/>
  <c r="Y55" i="1"/>
  <c r="Y53" i="1"/>
  <c r="Y27" i="1"/>
  <c r="G19" i="1"/>
  <c r="H19" i="1" s="1"/>
  <c r="G17" i="1"/>
  <c r="H17" i="1" s="1"/>
  <c r="D19" i="1"/>
  <c r="E19" i="1" s="1"/>
  <c r="D3" i="1"/>
  <c r="D5" i="1"/>
  <c r="E5" i="1" s="1"/>
  <c r="D16" i="1"/>
  <c r="D20" i="1"/>
  <c r="E20" i="1" s="1"/>
  <c r="D25" i="1"/>
  <c r="E25" i="1" s="1"/>
  <c r="D29" i="1"/>
  <c r="E29" i="1" s="1"/>
  <c r="D30" i="1"/>
  <c r="E30" i="1" s="1"/>
  <c r="D31" i="1"/>
  <c r="E31" i="1" s="1"/>
  <c r="D34" i="1"/>
  <c r="D39" i="1"/>
  <c r="D46" i="1"/>
  <c r="D47" i="1"/>
  <c r="D48" i="1"/>
  <c r="D50" i="1"/>
  <c r="D52" i="1"/>
  <c r="D54" i="1"/>
  <c r="D58" i="1"/>
  <c r="D60" i="1"/>
  <c r="D62" i="1"/>
  <c r="D64" i="1"/>
  <c r="D65" i="1"/>
  <c r="Y66" i="1"/>
  <c r="Y64" i="1"/>
  <c r="Y62" i="1"/>
  <c r="Y60" i="1"/>
  <c r="Y58" i="1"/>
  <c r="Y56" i="1"/>
  <c r="Y54" i="1"/>
  <c r="Y51" i="1"/>
  <c r="Y49" i="1"/>
  <c r="Y47" i="1"/>
  <c r="Y45" i="1"/>
  <c r="Y43" i="1"/>
  <c r="Y41" i="1"/>
  <c r="Y39" i="1"/>
  <c r="Y37" i="1"/>
  <c r="Y35" i="1"/>
  <c r="Y33" i="1"/>
  <c r="Y31" i="1"/>
  <c r="Y28" i="1"/>
  <c r="Y26" i="1"/>
  <c r="G4" i="1"/>
  <c r="G23" i="1"/>
  <c r="H23" i="1" s="1"/>
  <c r="G21" i="1"/>
  <c r="H21" i="1" s="1"/>
  <c r="G18" i="1"/>
  <c r="H18" i="1" s="1"/>
  <c r="G15" i="1"/>
  <c r="H15" i="1" s="1"/>
  <c r="G13" i="1"/>
  <c r="H13" i="1" s="1"/>
  <c r="G11" i="1"/>
  <c r="H11" i="1" s="1"/>
  <c r="G9" i="1"/>
  <c r="H9" i="1" s="1"/>
  <c r="D4" i="1"/>
  <c r="D23" i="1"/>
  <c r="E23" i="1" s="1"/>
  <c r="D21" i="1"/>
  <c r="E21" i="1" s="1"/>
  <c r="D15" i="1"/>
  <c r="E15" i="1" s="1"/>
  <c r="D13" i="1"/>
  <c r="E13" i="1" s="1"/>
  <c r="G3" i="1"/>
  <c r="G5" i="1"/>
  <c r="H5" i="1" s="1"/>
  <c r="G7" i="1"/>
  <c r="H7" i="1" s="1"/>
  <c r="G8" i="1"/>
  <c r="H8" i="1" s="1"/>
  <c r="G16" i="1"/>
  <c r="G20" i="1"/>
  <c r="H20" i="1" s="1"/>
  <c r="G25" i="1"/>
  <c r="H25" i="1" s="1"/>
  <c r="G27" i="1"/>
  <c r="H27" i="1" s="1"/>
  <c r="G29" i="1"/>
  <c r="H29" i="1" s="1"/>
  <c r="G30" i="1"/>
  <c r="H30" i="1" s="1"/>
  <c r="G31" i="1"/>
  <c r="H31" i="1" s="1"/>
  <c r="G33" i="1"/>
  <c r="H33" i="1" s="1"/>
  <c r="G35" i="1"/>
  <c r="G36" i="1"/>
  <c r="G37" i="1"/>
  <c r="G38" i="1"/>
  <c r="G39" i="1"/>
  <c r="G41" i="1"/>
  <c r="G42" i="1"/>
  <c r="G46" i="1"/>
  <c r="G47" i="1"/>
  <c r="G48" i="1"/>
  <c r="G49" i="1"/>
  <c r="G52" i="1"/>
  <c r="G53" i="1"/>
  <c r="G54" i="1"/>
  <c r="G55" i="1"/>
  <c r="G64" i="1"/>
  <c r="Y29" i="1"/>
  <c r="Y52" i="1"/>
</calcChain>
</file>

<file path=xl/comments1.xml><?xml version="1.0" encoding="utf-8"?>
<comments xmlns="http://schemas.openxmlformats.org/spreadsheetml/2006/main">
  <authors>
    <author>Alexander Tarrant</author>
  </authors>
  <commentList>
    <comment ref="S6" authorId="0" shapeId="0">
      <text>
        <r>
          <rPr>
            <b/>
            <sz val="9"/>
            <color indexed="81"/>
            <rFont val="Tahoma"/>
            <family val="2"/>
          </rPr>
          <t>Alexander Tarrant:</t>
        </r>
        <r>
          <rPr>
            <sz val="9"/>
            <color indexed="81"/>
            <rFont val="Tahoma"/>
            <family val="2"/>
          </rPr>
          <t xml:space="preserve">
snz spreadsheet has 140106
</t>
        </r>
      </text>
    </comment>
    <comment ref="S7" authorId="0" shapeId="0">
      <text>
        <r>
          <rPr>
            <b/>
            <sz val="9"/>
            <color indexed="81"/>
            <rFont val="Tahoma"/>
            <family val="2"/>
          </rPr>
          <t>Alexander Tarrant:</t>
        </r>
        <r>
          <rPr>
            <sz val="9"/>
            <color indexed="81"/>
            <rFont val="Tahoma"/>
            <family val="2"/>
          </rPr>
          <t xml:space="preserve">
snz spreadsheet has 63254
</t>
        </r>
      </text>
    </comment>
    <comment ref="X8" authorId="0" shapeId="0">
      <text>
        <r>
          <rPr>
            <b/>
            <sz val="9"/>
            <color indexed="81"/>
            <rFont val="Tahoma"/>
            <family val="2"/>
          </rPr>
          <t>Alexander Tarrant:</t>
        </r>
        <r>
          <rPr>
            <sz val="9"/>
            <color indexed="81"/>
            <rFont val="Tahoma"/>
            <family val="2"/>
          </rPr>
          <t xml:space="preserve">
snz spreadsheet has 
52956</t>
        </r>
      </text>
    </comment>
    <comment ref="C9" authorId="0" shapeId="0">
      <text>
        <r>
          <rPr>
            <b/>
            <sz val="9"/>
            <color indexed="81"/>
            <rFont val="Tahoma"/>
            <family val="2"/>
          </rPr>
          <t xml:space="preserve">Nick Tarrant: </t>
        </r>
        <r>
          <rPr>
            <sz val="9"/>
            <color indexed="81"/>
            <rFont val="Tahoma"/>
            <family val="2"/>
          </rPr>
          <t xml:space="preserve">figure for administrative county is 1085
</t>
        </r>
      </text>
    </comment>
    <comment ref="F9" authorId="0" shapeId="0">
      <text>
        <r>
          <rPr>
            <b/>
            <sz val="9"/>
            <color indexed="81"/>
            <rFont val="Tahoma"/>
            <family val="2"/>
          </rPr>
          <t xml:space="preserve">Nick Tarrant: </t>
        </r>
        <r>
          <rPr>
            <sz val="9"/>
            <color indexed="81"/>
            <rFont val="Tahoma"/>
            <family val="2"/>
          </rPr>
          <t xml:space="preserve">administrative county figure is 3669
</t>
        </r>
      </text>
    </comment>
    <comment ref="K9" authorId="0" shapeId="0">
      <text>
        <r>
          <rPr>
            <b/>
            <sz val="9"/>
            <color indexed="81"/>
            <rFont val="Tahoma"/>
            <family val="2"/>
          </rPr>
          <t xml:space="preserve">Nick Tarrant: </t>
        </r>
        <r>
          <rPr>
            <sz val="9"/>
            <color indexed="81"/>
            <rFont val="Tahoma"/>
            <family val="2"/>
          </rPr>
          <t xml:space="preserve">figure for administrative county is 4248 including maoris
</t>
        </r>
        <r>
          <rPr>
            <sz val="9"/>
            <color indexed="81"/>
            <rFont val="Tahoma"/>
            <family val="2"/>
          </rPr>
          <t xml:space="preserve">
</t>
        </r>
      </text>
    </comment>
    <comment ref="Z10" authorId="0" shapeId="0">
      <text>
        <r>
          <rPr>
            <b/>
            <sz val="9"/>
            <color indexed="81"/>
            <rFont val="Tahoma"/>
            <family val="2"/>
          </rPr>
          <t>Alexander Tarrant:</t>
        </r>
        <r>
          <rPr>
            <sz val="9"/>
            <color indexed="81"/>
            <rFont val="Tahoma"/>
            <family val="2"/>
          </rPr>
          <t xml:space="preserve">
snz preadsheet has 35529</t>
        </r>
      </text>
    </comment>
    <comment ref="S12" authorId="0" shapeId="0">
      <text>
        <r>
          <rPr>
            <b/>
            <sz val="9"/>
            <color indexed="81"/>
            <rFont val="Tahoma"/>
            <family val="2"/>
          </rPr>
          <t>Alexander Tarrant:</t>
        </r>
        <r>
          <rPr>
            <sz val="9"/>
            <color indexed="81"/>
            <rFont val="Tahoma"/>
            <family val="2"/>
          </rPr>
          <t xml:space="preserve">
snz spreadsheet has 57509</t>
        </r>
      </text>
    </comment>
    <comment ref="E16" authorId="0" shapeId="0">
      <text>
        <r>
          <rPr>
            <b/>
            <sz val="9"/>
            <color indexed="81"/>
            <rFont val="Tahoma"/>
            <family val="2"/>
          </rPr>
          <t>Alexander Tarrant:</t>
        </r>
        <r>
          <rPr>
            <sz val="9"/>
            <color indexed="81"/>
            <rFont val="Tahoma"/>
            <family val="2"/>
          </rPr>
          <t xml:space="preserve">
snz spreadsheet has 8165</t>
        </r>
      </text>
    </comment>
    <comment ref="H16" authorId="0" shapeId="0">
      <text>
        <r>
          <rPr>
            <b/>
            <sz val="9"/>
            <color indexed="81"/>
            <rFont val="Tahoma"/>
            <family val="2"/>
          </rPr>
          <t>Alexander Tarrant:</t>
        </r>
        <r>
          <rPr>
            <sz val="9"/>
            <color indexed="81"/>
            <rFont val="Tahoma"/>
            <family val="2"/>
          </rPr>
          <t xml:space="preserve">
snz spreadsheet has 9096</t>
        </r>
      </text>
    </comment>
    <comment ref="L16" authorId="0" shapeId="0">
      <text>
        <r>
          <rPr>
            <b/>
            <sz val="9"/>
            <color indexed="81"/>
            <rFont val="Tahoma"/>
            <family val="2"/>
          </rPr>
          <t>Alexander Tarrant:</t>
        </r>
        <r>
          <rPr>
            <sz val="9"/>
            <color indexed="81"/>
            <rFont val="Tahoma"/>
            <family val="2"/>
          </rPr>
          <t xml:space="preserve">
snz spreadsheet has 
9535</t>
        </r>
      </text>
    </comment>
    <comment ref="N16" authorId="0" shapeId="0">
      <text>
        <r>
          <rPr>
            <b/>
            <sz val="9"/>
            <color indexed="81"/>
            <rFont val="Tahoma"/>
            <family val="2"/>
          </rPr>
          <t>Alexander Tarrant:</t>
        </r>
        <r>
          <rPr>
            <sz val="9"/>
            <color indexed="81"/>
            <rFont val="Tahoma"/>
            <family val="2"/>
          </rPr>
          <t xml:space="preserve">
snz spreadsheet has 13000
</t>
        </r>
      </text>
    </comment>
    <comment ref="P16" authorId="0" shapeId="0">
      <text>
        <r>
          <rPr>
            <b/>
            <sz val="9"/>
            <color indexed="81"/>
            <rFont val="Tahoma"/>
            <family val="2"/>
          </rPr>
          <t>Alexander Tarrant:</t>
        </r>
        <r>
          <rPr>
            <sz val="9"/>
            <color indexed="81"/>
            <rFont val="Tahoma"/>
            <family val="2"/>
          </rPr>
          <t xml:space="preserve">
snz spreadsheet has 17596</t>
        </r>
      </text>
    </comment>
    <comment ref="R16" authorId="0" shapeId="0">
      <text>
        <r>
          <rPr>
            <b/>
            <sz val="9"/>
            <color indexed="81"/>
            <rFont val="Tahoma"/>
            <family val="2"/>
          </rPr>
          <t>Alexander Tarrant:</t>
        </r>
        <r>
          <rPr>
            <sz val="9"/>
            <color indexed="81"/>
            <rFont val="Tahoma"/>
            <family val="2"/>
          </rPr>
          <t xml:space="preserve">
snz spreadsheet has 21001</t>
        </r>
      </text>
    </comment>
    <comment ref="S16" authorId="0" shapeId="0">
      <text>
        <r>
          <rPr>
            <b/>
            <sz val="9"/>
            <color indexed="81"/>
            <rFont val="Tahoma"/>
            <family val="2"/>
          </rPr>
          <t>Alexander Tarrant:</t>
        </r>
        <r>
          <rPr>
            <sz val="9"/>
            <color indexed="81"/>
            <rFont val="Tahoma"/>
            <family val="2"/>
          </rPr>
          <t xml:space="preserve">
snz spreadsheet has no value 
</t>
        </r>
      </text>
    </comment>
    <comment ref="Y16" authorId="0" shapeId="0">
      <text>
        <r>
          <rPr>
            <b/>
            <sz val="9"/>
            <color indexed="81"/>
            <rFont val="Tahoma"/>
            <family val="2"/>
          </rPr>
          <t>Alexander Tarrant:</t>
        </r>
        <r>
          <rPr>
            <sz val="9"/>
            <color indexed="81"/>
            <rFont val="Tahoma"/>
            <family val="2"/>
          </rPr>
          <t xml:space="preserve">
snz spreadsheet has 19689</t>
        </r>
      </text>
    </comment>
    <comment ref="X19" authorId="0" shapeId="0">
      <text>
        <r>
          <rPr>
            <b/>
            <sz val="9"/>
            <color indexed="81"/>
            <rFont val="Tahoma"/>
            <family val="2"/>
          </rPr>
          <t>Alexander Tarrant:</t>
        </r>
        <r>
          <rPr>
            <sz val="9"/>
            <color indexed="81"/>
            <rFont val="Tahoma"/>
            <family val="2"/>
          </rPr>
          <t xml:space="preserve">
snz spreadsheet has 50688</t>
        </r>
      </text>
    </comment>
    <comment ref="S22" authorId="0" shapeId="0">
      <text>
        <r>
          <rPr>
            <b/>
            <sz val="9"/>
            <color indexed="81"/>
            <rFont val="Tahoma"/>
            <family val="2"/>
          </rPr>
          <t>Alexander Tarrant:</t>
        </r>
        <r>
          <rPr>
            <sz val="9"/>
            <color indexed="81"/>
            <rFont val="Tahoma"/>
            <family val="2"/>
          </rPr>
          <t xml:space="preserve">
snz has nothing</t>
        </r>
      </text>
    </comment>
    <comment ref="S40" authorId="0" shapeId="0">
      <text>
        <r>
          <rPr>
            <b/>
            <sz val="9"/>
            <color indexed="81"/>
            <rFont val="Tahoma"/>
            <family val="2"/>
          </rPr>
          <t xml:space="preserve">Nick Tarrant: </t>
        </r>
        <r>
          <rPr>
            <sz val="9"/>
            <color indexed="81"/>
            <rFont val="Tahoma"/>
            <family val="2"/>
          </rPr>
          <t xml:space="preserve">district population 14500
</t>
        </r>
      </text>
    </comment>
  </commentList>
</comments>
</file>

<file path=xl/sharedStrings.xml><?xml version="1.0" encoding="utf-8"?>
<sst xmlns="http://schemas.openxmlformats.org/spreadsheetml/2006/main" count="876" uniqueCount="517">
  <si>
    <t>Whangarei</t>
  </si>
  <si>
    <t>Auckland</t>
  </si>
  <si>
    <t>Pukekohe</t>
  </si>
  <si>
    <t>Hamilton</t>
  </si>
  <si>
    <t>Tauranga</t>
  </si>
  <si>
    <t>Rotorua</t>
  </si>
  <si>
    <t>Taupo</t>
  </si>
  <si>
    <t>Gisborne</t>
  </si>
  <si>
    <t>Napier</t>
  </si>
  <si>
    <t>Hastings</t>
  </si>
  <si>
    <t>New Plymouth</t>
  </si>
  <si>
    <t>Wanganui</t>
  </si>
  <si>
    <t>Palmerston North</t>
  </si>
  <si>
    <t>Masterton</t>
  </si>
  <si>
    <t>Kapiti</t>
  </si>
  <si>
    <t>Wellington</t>
  </si>
  <si>
    <t>Nelson</t>
  </si>
  <si>
    <t>Blenheim</t>
  </si>
  <si>
    <t>Christchurch</t>
  </si>
  <si>
    <t>Timaru</t>
  </si>
  <si>
    <t>Dunedin</t>
  </si>
  <si>
    <t>Invercargill</t>
  </si>
  <si>
    <t>Levin</t>
  </si>
  <si>
    <t>Tokoroa</t>
  </si>
  <si>
    <t>Whakatane</t>
  </si>
  <si>
    <t>Ashburton</t>
  </si>
  <si>
    <t>Oamaru</t>
  </si>
  <si>
    <t>Fielding</t>
  </si>
  <si>
    <t>Hawera</t>
  </si>
  <si>
    <t>Greymouth</t>
  </si>
  <si>
    <t>Gore</t>
  </si>
  <si>
    <t>Dargaville</t>
  </si>
  <si>
    <t>Huntly</t>
  </si>
  <si>
    <t>Cambridge</t>
  </si>
  <si>
    <t>Te Awamutu</t>
  </si>
  <si>
    <t>Te Kuiti</t>
  </si>
  <si>
    <t>Taumaranui</t>
  </si>
  <si>
    <t>Thames</t>
  </si>
  <si>
    <t>Waihi</t>
  </si>
  <si>
    <t>Morrinsville</t>
  </si>
  <si>
    <t>Mt Maunganui</t>
  </si>
  <si>
    <t>Wairoa</t>
  </si>
  <si>
    <t>Taradale</t>
  </si>
  <si>
    <t>Dannevirke</t>
  </si>
  <si>
    <t>Waitara</t>
  </si>
  <si>
    <t>Stratford</t>
  </si>
  <si>
    <t>Marton</t>
  </si>
  <si>
    <t>Westport</t>
  </si>
  <si>
    <t>Hokitika</t>
  </si>
  <si>
    <t>Rangiora</t>
  </si>
  <si>
    <t>Waimate</t>
  </si>
  <si>
    <t>Balclutha</t>
  </si>
  <si>
    <t>Te Aroha</t>
  </si>
  <si>
    <t>Paeroa</t>
  </si>
  <si>
    <t>Waipukurau</t>
  </si>
  <si>
    <t>Eltham</t>
  </si>
  <si>
    <t>Ohakune</t>
  </si>
  <si>
    <t>Foxton</t>
  </si>
  <si>
    <t>Carterton</t>
  </si>
  <si>
    <t>Kaiapoi</t>
  </si>
  <si>
    <t>Temuka</t>
  </si>
  <si>
    <t>Milton</t>
  </si>
  <si>
    <t>Kaitangata</t>
  </si>
  <si>
    <t>Bluff</t>
  </si>
  <si>
    <t>Area</t>
  </si>
  <si>
    <t>all populations excluding maoris</t>
  </si>
  <si>
    <t>1946 (IM)</t>
  </si>
  <si>
    <t>1946 (EM)</t>
  </si>
  <si>
    <t>populations including maoris</t>
  </si>
  <si>
    <t>populations excluding maoris</t>
  </si>
  <si>
    <t>populations include maori</t>
  </si>
  <si>
    <t>boundaries as at march 1996</t>
  </si>
  <si>
    <t>1986 (au)</t>
  </si>
  <si>
    <t>1926 IM (pro rata)</t>
  </si>
  <si>
    <t>1936 IM (pro rata)</t>
  </si>
  <si>
    <t>1986 borough population (for secondary urban areas)</t>
  </si>
  <si>
    <t>1976 pro rata (1986 secondary urban areas)</t>
  </si>
  <si>
    <t>1966 pro rata (1986 secondary urban areas)</t>
  </si>
  <si>
    <t>1956 pro rata (1986 secondary urban areas)</t>
  </si>
  <si>
    <t>1946 pro rata (1986 secondary urban areas)</t>
  </si>
  <si>
    <t>1936 pro rata (1986 secondary urban areas)</t>
  </si>
  <si>
    <t>1926 pro rata (1986 secondary urban areas)</t>
  </si>
  <si>
    <t>ratio of 1986 yearbook to 1986 area units</t>
  </si>
  <si>
    <t>1996 pro rata (yearbook:area units)</t>
  </si>
  <si>
    <t>2006 pro rata (yearbook:area units)</t>
  </si>
  <si>
    <t>ratio of 1946 IM to 1946 EM</t>
  </si>
  <si>
    <t>ratio of 1986 secondary urban area to 1986 borough population</t>
  </si>
  <si>
    <t>Town</t>
  </si>
  <si>
    <t>Working to deal with discontinuity at 1986 (dual definitions) for Hamilton, Tauranga and Hastings</t>
  </si>
  <si>
    <t>2008 defn</t>
  </si>
  <si>
    <t>1987 defn</t>
  </si>
  <si>
    <t>Ratio</t>
  </si>
  <si>
    <t>H+C+TA</t>
  </si>
  <si>
    <t>Original (with discontinuity at 1986)</t>
  </si>
  <si>
    <t>Pro Rated</t>
  </si>
  <si>
    <t>H+C+TA pro rata</t>
  </si>
  <si>
    <t>Tauranga pro rata</t>
  </si>
  <si>
    <t>Hastings pro rata</t>
  </si>
  <si>
    <t>Fig 1</t>
  </si>
  <si>
    <t>Fig 2</t>
  </si>
  <si>
    <t>Fig 3</t>
  </si>
  <si>
    <t>Fig 4</t>
  </si>
  <si>
    <t>Fig 5</t>
  </si>
  <si>
    <t>Fig 6</t>
  </si>
  <si>
    <t>Sheet "Working2" displays the prorating used to deal with data discontinuities in 1986 for Hamilton, Tauranga and Hastings.</t>
  </si>
  <si>
    <t>Sheet "final-graphs" displays the graphs included in WP13-07.</t>
  </si>
  <si>
    <t>All data included in this spreadsheet may be used freely by any user provided that the source of the data and the documentation in Motu Working Paper WP 13-07 are cited.</t>
  </si>
  <si>
    <t>The data reported in WP 13-07 is contained in the sheet "final".</t>
  </si>
  <si>
    <t>Sheet "Working1" displays the raw data and pro-rating procedures carried out where required (other than that shown in sheet "Working2").</t>
  </si>
  <si>
    <t>Population 1901</t>
  </si>
  <si>
    <t>Population 1926</t>
  </si>
  <si>
    <t>Population 1936</t>
  </si>
  <si>
    <t>Population 1946</t>
  </si>
  <si>
    <t>Population 1956</t>
  </si>
  <si>
    <t>Population 1966</t>
  </si>
  <si>
    <t>Population 1976</t>
  </si>
  <si>
    <t>Population 1986</t>
  </si>
  <si>
    <t>Population 1996</t>
  </si>
  <si>
    <t>Population 2006</t>
  </si>
  <si>
    <t>portion Maori</t>
  </si>
  <si>
    <t>1901 population missing</t>
  </si>
  <si>
    <t>Steamer Port 1901</t>
  </si>
  <si>
    <t>coach route 1901</t>
  </si>
  <si>
    <t>Private railway 1901</t>
  </si>
  <si>
    <t>Government railway 1901</t>
  </si>
  <si>
    <t>Port 1903</t>
  </si>
  <si>
    <t>North Island</t>
  </si>
  <si>
    <t>Dairy Factory 1920</t>
  </si>
  <si>
    <t>Meatworks 1920</t>
  </si>
  <si>
    <t>Closest Port (distance to) 1932</t>
  </si>
  <si>
    <t>Dunedin (distance to) 2005</t>
  </si>
  <si>
    <t>Christchurch (distance to) 2005</t>
  </si>
  <si>
    <t>Wellington (distance to) 2005</t>
  </si>
  <si>
    <t>Auckland (distance to) 2005</t>
  </si>
  <si>
    <t>Dunedin (time to) 1968</t>
  </si>
  <si>
    <t>Christchurch (time to) 1968</t>
  </si>
  <si>
    <t>Wellington (time to) 1968</t>
  </si>
  <si>
    <t>Auckland (time to) 1968</t>
  </si>
  <si>
    <t>Dunedin (distance to) 1968</t>
  </si>
  <si>
    <t>Christchurch (distance to) 1968</t>
  </si>
  <si>
    <t>Wellington (distance to) 1968</t>
  </si>
  <si>
    <t>Auckland (distance to) 1968</t>
  </si>
  <si>
    <t>Dunedin 1932 (distance to)</t>
  </si>
  <si>
    <t>Christchurch 1932 (distance to)</t>
  </si>
  <si>
    <t>Wellington 1932 (distance to)</t>
  </si>
  <si>
    <t>Auckland 1932 (distance to)</t>
  </si>
  <si>
    <t>Polytech 1926</t>
  </si>
  <si>
    <t>Polytech 1936</t>
  </si>
  <si>
    <t>Polytech 1946</t>
  </si>
  <si>
    <t>Polytech 1956</t>
  </si>
  <si>
    <t>Polytech 1966</t>
  </si>
  <si>
    <t>Polytech 1976</t>
  </si>
  <si>
    <t>Polytech 1986</t>
  </si>
  <si>
    <t>Polytech 1996</t>
  </si>
  <si>
    <t>Polytech 2006</t>
  </si>
  <si>
    <t>University 1926</t>
  </si>
  <si>
    <t>University 1936</t>
  </si>
  <si>
    <t>University 1946</t>
  </si>
  <si>
    <t>University 1956</t>
  </si>
  <si>
    <t>University 1966</t>
  </si>
  <si>
    <t>University 1976</t>
  </si>
  <si>
    <t>University 1986</t>
  </si>
  <si>
    <t>University 1996</t>
  </si>
  <si>
    <t>University 2006</t>
  </si>
  <si>
    <t xml:space="preserve">Aerodrome 1936 </t>
  </si>
  <si>
    <t>Regular Commercial Flights 1946</t>
  </si>
  <si>
    <t>Regular Commercial Flights  1956</t>
  </si>
  <si>
    <t>Regular Commercial Flights 1966</t>
  </si>
  <si>
    <t>Regular Commercial Flights 2014</t>
  </si>
  <si>
    <t>Average Annual Sunshine hours</t>
  </si>
  <si>
    <t>Average Annual Rainfall</t>
  </si>
  <si>
    <t>Mean Maximum Temperature Summer</t>
  </si>
  <si>
    <t>Mean Maximum Temperature Winter</t>
  </si>
  <si>
    <t>Hospital Admissions 1915</t>
  </si>
  <si>
    <t>Hospital Admissions 1924</t>
  </si>
  <si>
    <t>Hospital 1916</t>
  </si>
  <si>
    <t>Hospital 1926</t>
  </si>
  <si>
    <t>1906 Total Tonnage</t>
  </si>
  <si>
    <t>1916 Total Tonnage</t>
  </si>
  <si>
    <t>1926 Total number of vessels</t>
  </si>
  <si>
    <t>Total Tonnage 1926</t>
  </si>
  <si>
    <t>1936 Number of Vessels</t>
  </si>
  <si>
    <t>Total Tonnage 1936</t>
  </si>
  <si>
    <t>1946 Number of Vessels</t>
  </si>
  <si>
    <t>1946 Tonnage</t>
  </si>
  <si>
    <t>1956 Number of Vessels</t>
  </si>
  <si>
    <t>1956 Tonnage</t>
  </si>
  <si>
    <t>1966 Number of Vessels</t>
  </si>
  <si>
    <t>1966 Tonnage</t>
  </si>
  <si>
    <t>1976 Number of Vessels</t>
  </si>
  <si>
    <t>1976 Tonnage</t>
  </si>
  <si>
    <t>port 1906</t>
  </si>
  <si>
    <t>port 1916</t>
  </si>
  <si>
    <t>port 1926</t>
  </si>
  <si>
    <t>port 1936</t>
  </si>
  <si>
    <t>port 1946</t>
  </si>
  <si>
    <t>port 1956</t>
  </si>
  <si>
    <t>port 1966</t>
  </si>
  <si>
    <t>port 1976</t>
  </si>
  <si>
    <t>port 1986</t>
  </si>
  <si>
    <t>port 1996</t>
  </si>
  <si>
    <t>port 2006</t>
  </si>
  <si>
    <t>railway station 1948</t>
  </si>
  <si>
    <t>business index</t>
  </si>
  <si>
    <t>amenities index</t>
  </si>
  <si>
    <t>int. flights 1926</t>
  </si>
  <si>
    <t>int. flights 1936</t>
  </si>
  <si>
    <t>int. flights 1946</t>
  </si>
  <si>
    <t>int. flights 1956</t>
  </si>
  <si>
    <t>int. flights 1966</t>
  </si>
  <si>
    <t>int. flights 1976</t>
  </si>
  <si>
    <t>int. flights 1986</t>
  </si>
  <si>
    <t>int. flights 1996</t>
  </si>
  <si>
    <t>int. flights 2006</t>
  </si>
  <si>
    <t>SLD to Dunedin</t>
  </si>
  <si>
    <t>SLD to ChCh</t>
  </si>
  <si>
    <t>SLD to Alkd</t>
  </si>
  <si>
    <t>SLD to Wgtn</t>
  </si>
  <si>
    <t>Migration 1916-1925</t>
  </si>
  <si>
    <t>Migration 1926-1935</t>
  </si>
  <si>
    <t>Migration 1936-1945</t>
  </si>
  <si>
    <t>Migration 1946-1955</t>
  </si>
  <si>
    <t>Migration 1956-1965</t>
  </si>
  <si>
    <t>Migration 1966-1975</t>
  </si>
  <si>
    <t>Migration 1976-1985</t>
  </si>
  <si>
    <t>Migration 1986-1995</t>
  </si>
  <si>
    <t>Migration 1996-2005</t>
  </si>
  <si>
    <t>NZ Population 1926</t>
  </si>
  <si>
    <t>NZ Population 1936</t>
  </si>
  <si>
    <t>NZ Population 1946</t>
  </si>
  <si>
    <t>NZ Population 1956</t>
  </si>
  <si>
    <t>NZ Population 1966</t>
  </si>
  <si>
    <t>NZ Population 1976</t>
  </si>
  <si>
    <t>NZ Population 1986</t>
  </si>
  <si>
    <t>NZ Population 1996</t>
  </si>
  <si>
    <t>NZ Population 2006</t>
  </si>
  <si>
    <t>rail distance to Auckland 1909</t>
  </si>
  <si>
    <t>rail distance to Wellington 1909</t>
  </si>
  <si>
    <t>rail distance to Christchurch 1909</t>
  </si>
  <si>
    <t>rail distance to dunedin 1909</t>
  </si>
  <si>
    <t>not connected 1909</t>
  </si>
  <si>
    <t>has rail 1880</t>
  </si>
  <si>
    <t>priority 1880</t>
  </si>
  <si>
    <t>recommended postpone 1880</t>
  </si>
  <si>
    <t>not recommended/ mentioned 1880</t>
  </si>
  <si>
    <t>Auckland region</t>
  </si>
  <si>
    <t>Wellington region</t>
  </si>
  <si>
    <t>2006: No qualification %</t>
  </si>
  <si>
    <t>2006 School total %</t>
  </si>
  <si>
    <t>2006 Post-school total</t>
  </si>
  <si>
    <t>2006 Bach. Or higher</t>
  </si>
  <si>
    <t>% of popn Maori 1881</t>
  </si>
  <si>
    <t>(8-w.a. LUC index)</t>
  </si>
  <si>
    <t>townid</t>
  </si>
  <si>
    <t>towncode</t>
  </si>
  <si>
    <t>town</t>
  </si>
  <si>
    <t>pop1901</t>
  </si>
  <si>
    <t>pop1926</t>
  </si>
  <si>
    <t>pop1936</t>
  </si>
  <si>
    <t>pop1946</t>
  </si>
  <si>
    <t>pop1956</t>
  </si>
  <si>
    <t>pop1966</t>
  </si>
  <si>
    <t>pop1976</t>
  </si>
  <si>
    <t>pop1986</t>
  </si>
  <si>
    <t>pop1996</t>
  </si>
  <si>
    <t>pop2006</t>
  </si>
  <si>
    <t>p_maori</t>
  </si>
  <si>
    <t>popmiss1901</t>
  </si>
  <si>
    <t>steam1901</t>
  </si>
  <si>
    <t>coach1901</t>
  </si>
  <si>
    <t>privrail1901</t>
  </si>
  <si>
    <t>govrail1901</t>
  </si>
  <si>
    <t>port1903</t>
  </si>
  <si>
    <t>north_is</t>
  </si>
  <si>
    <t>dairy1920</t>
  </si>
  <si>
    <t>meat1920</t>
  </si>
  <si>
    <t>d_port1932</t>
  </si>
  <si>
    <t>d_dun05</t>
  </si>
  <si>
    <t>D_chch05</t>
  </si>
  <si>
    <t>d_wgtn05</t>
  </si>
  <si>
    <t>d_akld05</t>
  </si>
  <si>
    <t>time_dun68</t>
  </si>
  <si>
    <t>time_chch68</t>
  </si>
  <si>
    <t>time_wgtn68</t>
  </si>
  <si>
    <t>time_akld68</t>
  </si>
  <si>
    <t>d_dun68</t>
  </si>
  <si>
    <t>d_chch68</t>
  </si>
  <si>
    <t>d_wgtn68</t>
  </si>
  <si>
    <t>d_akld68</t>
  </si>
  <si>
    <t>d_dun32</t>
  </si>
  <si>
    <t>d_chch32</t>
  </si>
  <si>
    <t>d_wgtn32</t>
  </si>
  <si>
    <t>d_akld32</t>
  </si>
  <si>
    <t>poly1926</t>
  </si>
  <si>
    <t>poly1936</t>
  </si>
  <si>
    <t>poly1946</t>
  </si>
  <si>
    <t>poly1956</t>
  </si>
  <si>
    <t>poly1966</t>
  </si>
  <si>
    <t>poly1976</t>
  </si>
  <si>
    <t>poly1986</t>
  </si>
  <si>
    <t>poly1996</t>
  </si>
  <si>
    <t>poly2006</t>
  </si>
  <si>
    <t>uni1926</t>
  </si>
  <si>
    <t>uni1936</t>
  </si>
  <si>
    <t>uni1946</t>
  </si>
  <si>
    <t>uni1956</t>
  </si>
  <si>
    <t>uni1966</t>
  </si>
  <si>
    <t>uni1976</t>
  </si>
  <si>
    <t>uni1986</t>
  </si>
  <si>
    <t>uni1996</t>
  </si>
  <si>
    <t>uni2006</t>
  </si>
  <si>
    <t>airport1936</t>
  </si>
  <si>
    <t>flights1946</t>
  </si>
  <si>
    <t>flights1956</t>
  </si>
  <si>
    <t>flights1966</t>
  </si>
  <si>
    <t>flights2014</t>
  </si>
  <si>
    <t>sunhours</t>
  </si>
  <si>
    <t>rainfall</t>
  </si>
  <si>
    <t>sumtemp</t>
  </si>
  <si>
    <t>wintemp</t>
  </si>
  <si>
    <t>h_admiss1915</t>
  </si>
  <si>
    <t>h_admiss1924</t>
  </si>
  <si>
    <t>hospital1916</t>
  </si>
  <si>
    <t>hospital1926</t>
  </si>
  <si>
    <t>tonnage1906</t>
  </si>
  <si>
    <t>tonnage1916</t>
  </si>
  <si>
    <t>vessels1926</t>
  </si>
  <si>
    <t>tonnage1926</t>
  </si>
  <si>
    <t>vessels1936</t>
  </si>
  <si>
    <t>tonnage1936</t>
  </si>
  <si>
    <t>vessels1946</t>
  </si>
  <si>
    <t>tonnage1946</t>
  </si>
  <si>
    <t>vessels1956</t>
  </si>
  <si>
    <t>tonnage1956</t>
  </si>
  <si>
    <t>vessels1966</t>
  </si>
  <si>
    <t>tonnage1966</t>
  </si>
  <si>
    <t>vessels1976</t>
  </si>
  <si>
    <t>tonnage1976</t>
  </si>
  <si>
    <t>port1906</t>
  </si>
  <si>
    <t>port1916</t>
  </si>
  <si>
    <t>port1926</t>
  </si>
  <si>
    <t>port1936</t>
  </si>
  <si>
    <t>port1946</t>
  </si>
  <si>
    <t>port1956</t>
  </si>
  <si>
    <t>port1966</t>
  </si>
  <si>
    <t>port1976</t>
  </si>
  <si>
    <t>port1986</t>
  </si>
  <si>
    <t>port1996</t>
  </si>
  <si>
    <t>port2006</t>
  </si>
  <si>
    <t>rail1948</t>
  </si>
  <si>
    <t>business</t>
  </si>
  <si>
    <t>lifequal</t>
  </si>
  <si>
    <t>intflights1926</t>
  </si>
  <si>
    <t>intflights1936</t>
  </si>
  <si>
    <t>intflights1946</t>
  </si>
  <si>
    <t>intflights1956</t>
  </si>
  <si>
    <t>intflights1966</t>
  </si>
  <si>
    <t>intflights1976</t>
  </si>
  <si>
    <t>intflights1986</t>
  </si>
  <si>
    <t>intflights1996</t>
  </si>
  <si>
    <t>intflights2006</t>
  </si>
  <si>
    <t>sld_dun</t>
  </si>
  <si>
    <t>sld_chch</t>
  </si>
  <si>
    <t>sld_akld</t>
  </si>
  <si>
    <t>sld_wgtn</t>
  </si>
  <si>
    <t>migration1926</t>
  </si>
  <si>
    <t>migration1936</t>
  </si>
  <si>
    <t>migration1946</t>
  </si>
  <si>
    <t>migration1956</t>
  </si>
  <si>
    <t>migration1966</t>
  </si>
  <si>
    <t>migration1976</t>
  </si>
  <si>
    <t>migration1986</t>
  </si>
  <si>
    <t>migration1996</t>
  </si>
  <si>
    <t>migration2006</t>
  </si>
  <si>
    <t>nzpop1926</t>
  </si>
  <si>
    <t>nzpop1936</t>
  </si>
  <si>
    <t>nzpop1946</t>
  </si>
  <si>
    <t>nzpop1956</t>
  </si>
  <si>
    <t>nzpop1966</t>
  </si>
  <si>
    <t>nzpop1976</t>
  </si>
  <si>
    <t>nzpop1986</t>
  </si>
  <si>
    <t>nzpop1996</t>
  </si>
  <si>
    <t>nzpop2006</t>
  </si>
  <si>
    <t>rail_akld</t>
  </si>
  <si>
    <t>rail_wgtn</t>
  </si>
  <si>
    <t>rail_chch</t>
  </si>
  <si>
    <t>rail_dun</t>
  </si>
  <si>
    <t>nolink1909</t>
  </si>
  <si>
    <t>rail1880</t>
  </si>
  <si>
    <t>priority1880</t>
  </si>
  <si>
    <t>delay1880</t>
  </si>
  <si>
    <t>no1880</t>
  </si>
  <si>
    <t>p_noqual</t>
  </si>
  <si>
    <t>p_school</t>
  </si>
  <si>
    <t>p_postsch</t>
  </si>
  <si>
    <t>p_degree</t>
  </si>
  <si>
    <t>pc_maori81</t>
  </si>
  <si>
    <t>landuse</t>
  </si>
  <si>
    <t>.</t>
  </si>
  <si>
    <t>Variable</t>
  </si>
  <si>
    <t>Source</t>
  </si>
  <si>
    <t>Log population</t>
  </si>
  <si>
    <t>Motu (2013)</t>
  </si>
  <si>
    <r>
      <t>Average land-use capability</t>
    </r>
    <r>
      <rPr>
        <vertAlign val="superscript"/>
        <sz val="10"/>
        <color rgb="FF000000"/>
        <rFont val="Garamond"/>
        <family val="1"/>
      </rPr>
      <t>1</t>
    </r>
    <r>
      <rPr>
        <sz val="10"/>
        <color rgb="FF000000"/>
        <rFont val="Garamond"/>
        <family val="1"/>
      </rPr>
      <t xml:space="preserve"> </t>
    </r>
  </si>
  <si>
    <t>Landcare Research and MAF (2002)</t>
  </si>
  <si>
    <t>Average annual sunshine hours</t>
  </si>
  <si>
    <r>
      <t>NIWA (2014)</t>
    </r>
    <r>
      <rPr>
        <vertAlign val="superscript"/>
        <sz val="10"/>
        <color rgb="FF000000"/>
        <rFont val="Garamond"/>
        <family val="1"/>
      </rPr>
      <t>2</t>
    </r>
  </si>
  <si>
    <t>1932 road distance to Auckland (miles, Auckland region only)</t>
  </si>
  <si>
    <t>Alexander Turnbull Library (2006)</t>
  </si>
  <si>
    <t>1932 road distance to Wellington (miles, Wellington region only)</t>
  </si>
  <si>
    <t>1932 road distance to Christchurch (miles, Christchurch region only)</t>
  </si>
  <si>
    <t>1932 road distance to Dunedin (miles, Dunedin region only)</t>
  </si>
  <si>
    <t>Region</t>
  </si>
  <si>
    <t xml:space="preserve">Auckland </t>
  </si>
  <si>
    <t>Greater Auckland</t>
  </si>
  <si>
    <t xml:space="preserve">Greater Wellington </t>
  </si>
  <si>
    <t>Greater Christchurch</t>
  </si>
  <si>
    <t>Percentage Maori 1881</t>
  </si>
  <si>
    <t>National Library of New Zealand (2014a)</t>
  </si>
  <si>
    <t>Percentage Maori 1946</t>
  </si>
  <si>
    <t>Distance to port in 1932 (miles)</t>
  </si>
  <si>
    <t>University 1926 (dummy)</t>
  </si>
  <si>
    <t>Te Ara Encyclopedia of New Zealand (2014)</t>
  </si>
  <si>
    <t>University 1966 (dummy)</t>
  </si>
  <si>
    <r>
      <t>Polytechnic 1966</t>
    </r>
    <r>
      <rPr>
        <i/>
        <sz val="10"/>
        <color theme="1"/>
        <rFont val="Garamond"/>
        <family val="1"/>
      </rPr>
      <t xml:space="preserve"> </t>
    </r>
    <r>
      <rPr>
        <sz val="10"/>
        <color theme="1"/>
        <rFont val="Garamond"/>
        <family val="1"/>
      </rPr>
      <t>(dummy)</t>
    </r>
  </si>
  <si>
    <t>Dougherty (1999)</t>
  </si>
  <si>
    <t>Airport in 1966 (dummy)</t>
  </si>
  <si>
    <t>SNZ (various)</t>
  </si>
  <si>
    <t>Average TLA “life” ranking, 1996-2006</t>
  </si>
  <si>
    <t>Donovan (2011)</t>
  </si>
  <si>
    <t>TLA “business” ranking, 1996-2006</t>
  </si>
  <si>
    <t>1880 has rail (dummy)</t>
  </si>
  <si>
    <t>National Library of New Zealand (2014b)</t>
  </si>
  <si>
    <t>1880 rail to be delayed (dummy)</t>
  </si>
  <si>
    <t>1880 rail to be prioritised (dummy)</t>
  </si>
  <si>
    <t>1901 population</t>
  </si>
  <si>
    <t>1901 population data missing (dummy)</t>
  </si>
  <si>
    <t>1901 on coach route (dummy)</t>
  </si>
  <si>
    <t>National Library of New Zealand (2014c)</t>
  </si>
  <si>
    <t>1901 railroad (dummy)</t>
  </si>
  <si>
    <t>1901 steamer port (dummy)</t>
  </si>
  <si>
    <t>1906 port (dummy)</t>
  </si>
  <si>
    <t>1906 port tonnage</t>
  </si>
  <si>
    <t>1909 rail distance to Auckland (miles, Auckland region only)</t>
  </si>
  <si>
    <t>New Zealand Railways (1937, 1957)</t>
  </si>
  <si>
    <t>1909 rail distance to Christchurch (miles, Christchurch region only)</t>
  </si>
  <si>
    <t>1909 rail distance to Dunedin (miles, Dunedin region only)</t>
  </si>
  <si>
    <t>1909 rail distance to Wellington (miles, Wellington region only)</t>
  </si>
  <si>
    <t>1920 has a dairy factory (dummy)</t>
  </si>
  <si>
    <t>1920 has a meatworks (dummy)</t>
  </si>
  <si>
    <t>1926 university (dummy)</t>
  </si>
  <si>
    <t>1968 road distance to Auckland (miles, Auckland region only)</t>
  </si>
  <si>
    <t>Shadbolt (1968: p33)</t>
  </si>
  <si>
    <t>1968 road distance to Wellington (miles, Wellington region only)</t>
  </si>
  <si>
    <t>1968 road distance to Christchurch (miles, Christchurch region only)</t>
  </si>
  <si>
    <t>1968 road distance to Dunedin (miles, Dunedin region only)</t>
  </si>
  <si>
    <t>40-year population lag (in logs)</t>
  </si>
  <si>
    <t>Average annual rainfall (mm)</t>
  </si>
  <si>
    <t>NIWA (2014)</t>
  </si>
  <si>
    <t>Average summer max temperature (degrees Celsius)</t>
  </si>
  <si>
    <t>Average winter max temperature (degrees Celsius)</t>
  </si>
  <si>
    <t>Straight-line distance to Auckland (km, Auckland region only)</t>
  </si>
  <si>
    <t>GPS Visualizer (2014)</t>
  </si>
  <si>
    <t>Straight-line distance to Christchurch (km, Christchurch region only)</t>
  </si>
  <si>
    <t>Straight-line distance to Dunedin (km, Dunedin region only)</t>
  </si>
  <si>
    <t>Straight-line distance to Wellington (km, Wellington region only)</t>
  </si>
  <si>
    <t>Hospital in 1916 (dummy)</t>
  </si>
  <si>
    <t>Hospital in 1926 (dummy)</t>
  </si>
  <si>
    <t>Hospital admissions 1915</t>
  </si>
  <si>
    <t>Hospital admissions 1924</t>
  </si>
  <si>
    <t>1968 road travel time to Auckland</t>
  </si>
  <si>
    <t>Shadbolt (1968: p326)</t>
  </si>
  <si>
    <t>1968 road travel time to Wellington</t>
  </si>
  <si>
    <t>1968 road travel time to Christchurch</t>
  </si>
  <si>
    <t>1968 road travel time to Dunedin</t>
  </si>
  <si>
    <t>Total port tonnage (1916-1976)</t>
  </si>
  <si>
    <t>Total number of vessels to port (1926-1976)</t>
  </si>
  <si>
    <t>Aerodrome in 1936 (dummy)</t>
  </si>
  <si>
    <t>Regular commercial flights (dummy, 1946-1956)</t>
  </si>
  <si>
    <t>Port in 1903 (dummy)</t>
  </si>
  <si>
    <t>Port (dummy, 1916-1976)</t>
  </si>
  <si>
    <t>International flights (dummy, 1946-2006)</t>
  </si>
  <si>
    <r>
      <t>Permanent &amp; long-term arrivals to NZ in decade</t>
    </r>
    <r>
      <rPr>
        <i/>
        <sz val="10"/>
        <color rgb="FF000000"/>
        <rFont val="Garamond"/>
        <family val="1"/>
      </rPr>
      <t xml:space="preserve"> t</t>
    </r>
  </si>
  <si>
    <t>Not connected to a main centre by rail in 1909 (dummy)</t>
  </si>
  <si>
    <r>
      <t>1</t>
    </r>
    <r>
      <rPr>
        <sz val="12"/>
        <color theme="1"/>
        <rFont val="Garamond"/>
        <family val="1"/>
      </rPr>
      <t xml:space="preserve"> </t>
    </r>
    <r>
      <rPr>
        <sz val="10"/>
        <color theme="1"/>
        <rFont val="Garamond"/>
        <family val="1"/>
      </rPr>
      <t>To derive this measure, we averaged the LUC index values across all 2006 Census meshblocks within each Territorial Local Authority (TLA), weighted by meshblock land area (and we transformed the variable so that higher values corresponded to better agricultural land). Each town was then assigned the average LUC of the TLA that it falls within. A detailed description of the LUC index can be found in Lynn et al. (2009).</t>
    </r>
  </si>
  <si>
    <r>
      <t xml:space="preserve">2 </t>
    </r>
    <r>
      <rPr>
        <sz val="10"/>
        <color theme="1"/>
        <rFont val="Garamond"/>
        <family val="1"/>
      </rPr>
      <t>NIWA (2014) data were not available for 18 towns. In these cases, climate data were approximated with the values of the nearest neighbouring town.</t>
    </r>
  </si>
  <si>
    <t>Region Classifications and Road Distance to Each Main Centre</t>
  </si>
  <si>
    <t>AUCKLAND</t>
  </si>
  <si>
    <t>WELLINGTON</t>
  </si>
  <si>
    <t>CHRISTCHURCH</t>
  </si>
  <si>
    <t>Distance to Auckland (km)</t>
  </si>
  <si>
    <t>Distance to Wellington (km)</t>
  </si>
  <si>
    <t>Distance to Christchurch (km)</t>
  </si>
  <si>
    <t xml:space="preserve">Ashburton </t>
  </si>
  <si>
    <t>GREATER CHRISTCHURCH</t>
  </si>
  <si>
    <t>Feilding</t>
  </si>
  <si>
    <t>GREATER WELLINGTON</t>
  </si>
  <si>
    <t>GREATER AUCKLAND</t>
  </si>
  <si>
    <t>DUNEDIN</t>
  </si>
  <si>
    <t>Distance to Dunedin (km)</t>
  </si>
  <si>
    <t>gr_akld</t>
  </si>
  <si>
    <t>gr_wgtn</t>
  </si>
  <si>
    <t>gr_chch</t>
  </si>
  <si>
    <t>akld</t>
  </si>
  <si>
    <t>wgtn</t>
  </si>
  <si>
    <t>chch</t>
  </si>
  <si>
    <t>otag</t>
  </si>
  <si>
    <t>Greater Auckland region</t>
  </si>
  <si>
    <t>Greater Wellington region</t>
  </si>
  <si>
    <t>Greater Dunedin region</t>
  </si>
  <si>
    <t>Greater Christchurch region</t>
  </si>
  <si>
    <t>Christchurch region</t>
  </si>
  <si>
    <t>This spreadsheet shows the workings to derive the populations of 60 towns and cities in New Zealand. It also contains a database of historical infrastructure and other town characteristics.</t>
  </si>
  <si>
    <t xml:space="preserve">For documentation relating to the population data, see: Arthur Grimes and Nicholas Tarrant. 2013. "A New Zealand Urban Population Database", Motu Working Paper WP 13-07, Wellington: Motu, www.motu.org.nz. </t>
  </si>
  <si>
    <t xml:space="preserve">For more information on the other historical data, see: Arthur Grimes, Eyal Apatov, Larissa Lutchman and Anna Robinson. 2014. "Infrastructure's Long-Lived Impact on Urban Development: Theory and Empirics," Motu Working Paper 14-11. Wellington: Motu, www.motu.org.nz. </t>
  </si>
  <si>
    <t>Sheet "Infrastructure data" contains all historical data used in WP14-11, with towns listed in alphabetical order.</t>
  </si>
  <si>
    <t>Sheet "Data sources" contains a table of data sources and details of the regional classifications used in WP14-11.</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</si>
</sst>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0"/>
    <numFmt numFmtId="165" formatCode="0.0"/>
  </numFmts>
  <fonts count="26" x14ac:knownFonts="1">
    <font>
      <sz val="11"/>
      <color theme="1"/>
      <name val="Calibri"/>
      <family val="2"/>
      <scheme val="minor"/>
    </font>
    <font>
      <b/>
      <sz val="11"/>
      <color theme="1"/>
      <name val="Calibri"/>
      <family val="2"/>
      <scheme val="minor"/>
    </font>
    <font>
      <sz val="9"/>
      <color indexed="81"/>
      <name val="Tahoma"/>
      <family val="2"/>
    </font>
    <font>
      <b/>
      <sz val="9"/>
      <color indexed="81"/>
      <name val="Tahoma"/>
      <family val="2"/>
    </font>
    <font>
      <sz val="11"/>
      <name val="Calibri"/>
      <family val="2"/>
      <scheme val="minor"/>
    </font>
    <font>
      <b/>
      <sz val="8"/>
      <color theme="1"/>
      <name val="Calibri"/>
      <family val="2"/>
      <scheme val="minor"/>
    </font>
    <font>
      <sz val="8"/>
      <color theme="1"/>
      <name val="Calibri"/>
      <family val="2"/>
      <scheme val="minor"/>
    </font>
    <font>
      <sz val="8"/>
      <name val="Calibri"/>
      <family val="2"/>
      <scheme val="minor"/>
    </font>
    <font>
      <sz val="11"/>
      <color theme="1"/>
      <name val="Calibri"/>
      <family val="2"/>
      <scheme val="minor"/>
    </font>
    <font>
      <sz val="12"/>
      <color theme="1"/>
      <name val="Garamond"/>
      <family val="1"/>
    </font>
    <font>
      <b/>
      <sz val="12"/>
      <color rgb="FF000000"/>
      <name val="Garamond"/>
      <family val="1"/>
    </font>
    <font>
      <sz val="10"/>
      <color rgb="FF000000"/>
      <name val="Garamond"/>
      <family val="1"/>
    </font>
    <font>
      <sz val="10"/>
      <color rgb="FF000000"/>
      <name val="Calibri"/>
      <family val="2"/>
    </font>
    <font>
      <vertAlign val="superscript"/>
      <sz val="10"/>
      <color rgb="FF000000"/>
      <name val="Garamond"/>
      <family val="1"/>
    </font>
    <font>
      <i/>
      <sz val="10"/>
      <color rgb="FF000000"/>
      <name val="Garamond"/>
      <family val="1"/>
    </font>
    <font>
      <sz val="10"/>
      <color theme="1"/>
      <name val="Garamond"/>
      <family val="1"/>
    </font>
    <font>
      <i/>
      <sz val="10"/>
      <color theme="1"/>
      <name val="Garamond"/>
      <family val="1"/>
    </font>
    <font>
      <sz val="9"/>
      <color rgb="FF000000"/>
      <name val="Calibri"/>
      <family val="2"/>
    </font>
    <font>
      <vertAlign val="superscript"/>
      <sz val="10"/>
      <color theme="1"/>
      <name val="Garamond"/>
      <family val="1"/>
    </font>
    <font>
      <b/>
      <i/>
      <sz val="12"/>
      <color rgb="FF000000"/>
      <name val="Garamond"/>
      <family val="1"/>
    </font>
    <font>
      <b/>
      <sz val="11"/>
      <color rgb="FF000000"/>
      <name val="Calibri"/>
      <family val="2"/>
    </font>
    <font>
      <b/>
      <sz val="10"/>
      <color rgb="FF000000"/>
      <name val="Garamond"/>
      <family val="1"/>
    </font>
    <font>
      <i/>
      <sz val="11"/>
      <color rgb="FF000000"/>
      <name val="Garamond"/>
      <family val="1"/>
    </font>
    <font>
      <i/>
      <sz val="10"/>
      <color rgb="FF000000"/>
      <name val="Calibri"/>
      <family val="2"/>
    </font>
    <font>
      <sz val="11"/>
      <color rgb="FF000000"/>
      <name val="Garamond"/>
      <family val="1"/>
    </font>
    <font>
      <sz val="11"/>
      <color rgb="FF000000"/>
      <name val="Calibri"/>
      <family val="2"/>
    </font>
  </fonts>
  <fills count="9">
    <fill>
      <patternFill patternType="none"/>
    </fill>
    <fill>
      <patternFill patternType="gray125"/>
    </fill>
    <fill>
      <patternFill patternType="solid">
        <fgColor rgb="FFFF0000"/>
        <bgColor indexed="64"/>
      </patternFill>
    </fill>
    <fill>
      <patternFill patternType="solid">
        <fgColor rgb="FFFFFF00"/>
        <bgColor indexed="64"/>
      </patternFill>
    </fill>
    <fill>
      <patternFill patternType="solid">
        <fgColor rgb="FF00B0F0"/>
        <bgColor indexed="64"/>
      </patternFill>
    </fill>
    <fill>
      <patternFill patternType="solid">
        <fgColor rgb="FFFFC000"/>
        <bgColor indexed="64"/>
      </patternFill>
    </fill>
    <fill>
      <patternFill patternType="solid">
        <fgColor theme="0"/>
        <bgColor indexed="64"/>
      </patternFill>
    </fill>
    <fill>
      <patternFill patternType="solid">
        <fgColor rgb="FFFFFFCC"/>
      </patternFill>
    </fill>
    <fill>
      <patternFill patternType="solid">
        <fgColor rgb="FFFFFFFF"/>
        <bgColor indexed="64"/>
      </patternFill>
    </fill>
  </fills>
  <borders count="7">
    <border>
      <left/>
      <right/>
      <top/>
      <bottom/>
      <diagonal/>
    </border>
    <border>
      <left style="thin">
        <color rgb="FFB2B2B2"/>
      </left>
      <right style="thin">
        <color rgb="FFB2B2B2"/>
      </right>
      <top style="thin">
        <color rgb="FFB2B2B2"/>
      </top>
      <bottom style="thin">
        <color rgb="FFB2B2B2"/>
      </bottom>
      <diagonal/>
    </border>
    <border>
      <left/>
      <right/>
      <top style="double">
        <color indexed="64"/>
      </top>
      <bottom style="double">
        <color indexed="64"/>
      </bottom>
      <diagonal/>
    </border>
    <border>
      <left/>
      <right/>
      <top/>
      <bottom style="medium">
        <color indexed="64"/>
      </bottom>
      <diagonal/>
    </border>
    <border>
      <left/>
      <right/>
      <top/>
      <bottom style="double">
        <color indexed="64"/>
      </bottom>
      <diagonal/>
    </border>
    <border>
      <left/>
      <right/>
      <top/>
      <bottom style="dotted">
        <color indexed="64"/>
      </bottom>
      <diagonal/>
    </border>
    <border>
      <left/>
      <right/>
      <top style="medium">
        <color indexed="64"/>
      </top>
      <bottom/>
      <diagonal/>
    </border>
  </borders>
  <cellStyleXfs count="2">
    <xf numFmtId="0" fontId="0" fillId="0" borderId="0"/>
    <xf numFmtId="0" fontId="8" fillId="7" borderId="1" applyNumberFormat="0" applyFont="0" applyAlignment="0" applyProtection="0"/>
  </cellStyleXfs>
  <cellXfs count="72">
    <xf numFmtId="0" fontId="0" fillId="0" borderId="0" xfId="0"/>
    <xf numFmtId="0" fontId="1" fillId="0" borderId="0" xfId="0" applyFont="1"/>
    <xf numFmtId="0" fontId="0" fillId="2" borderId="0" xfId="0" applyFill="1"/>
    <xf numFmtId="0" fontId="0" fillId="0" borderId="0" xfId="0" applyFill="1"/>
    <xf numFmtId="0" fontId="0" fillId="3" borderId="0" xfId="0" applyFill="1"/>
    <xf numFmtId="0" fontId="0" fillId="4" borderId="0" xfId="0" applyFill="1"/>
    <xf numFmtId="0" fontId="4" fillId="2" borderId="0" xfId="0" applyFont="1" applyFill="1"/>
    <xf numFmtId="0" fontId="0" fillId="5" borderId="0" xfId="0" applyFill="1"/>
    <xf numFmtId="1" fontId="0" fillId="0" borderId="0" xfId="0" applyNumberFormat="1"/>
    <xf numFmtId="1" fontId="0" fillId="0" borderId="0" xfId="0" applyNumberFormat="1" applyFill="1"/>
    <xf numFmtId="0" fontId="5" fillId="0" borderId="0" xfId="0" applyFont="1"/>
    <xf numFmtId="0" fontId="6" fillId="0" borderId="0" xfId="0" applyFont="1"/>
    <xf numFmtId="1" fontId="6" fillId="0" borderId="0" xfId="0" applyNumberFormat="1" applyFont="1"/>
    <xf numFmtId="0" fontId="6" fillId="0" borderId="0" xfId="0" applyFont="1" applyFill="1"/>
    <xf numFmtId="1" fontId="6" fillId="0" borderId="0" xfId="0" applyNumberFormat="1" applyFont="1" applyFill="1"/>
    <xf numFmtId="1" fontId="4" fillId="6" borderId="0" xfId="0" applyNumberFormat="1" applyFont="1" applyFill="1"/>
    <xf numFmtId="1" fontId="0" fillId="6" borderId="0" xfId="0" applyNumberFormat="1" applyFill="1"/>
    <xf numFmtId="1" fontId="7" fillId="6" borderId="0" xfId="0" applyNumberFormat="1" applyFont="1" applyFill="1"/>
    <xf numFmtId="1" fontId="6" fillId="6" borderId="0" xfId="0" applyNumberFormat="1" applyFont="1" applyFill="1"/>
    <xf numFmtId="0" fontId="1" fillId="0" borderId="0" xfId="0" applyFont="1" applyFill="1"/>
    <xf numFmtId="0" fontId="0" fillId="6" borderId="0" xfId="0" applyFill="1"/>
    <xf numFmtId="0" fontId="6" fillId="0" borderId="0" xfId="0" applyFont="1" applyAlignment="1">
      <alignment horizontal="right"/>
    </xf>
    <xf numFmtId="0" fontId="5" fillId="0" borderId="0" xfId="0" applyFont="1" applyAlignment="1">
      <alignment horizontal="center" vertical="center" wrapText="1"/>
    </xf>
    <xf numFmtId="1" fontId="5" fillId="0" borderId="0" xfId="0" applyNumberFormat="1" applyFont="1" applyAlignment="1">
      <alignment horizontal="center" vertical="center" wrapText="1"/>
    </xf>
    <xf numFmtId="164" fontId="5" fillId="0" borderId="0" xfId="0" applyNumberFormat="1" applyFont="1" applyAlignment="1">
      <alignment horizontal="center" vertical="center" wrapText="1"/>
    </xf>
    <xf numFmtId="0" fontId="5" fillId="0" borderId="1" xfId="1" applyFont="1" applyFill="1" applyAlignment="1">
      <alignment horizontal="center" vertical="center" wrapText="1"/>
    </xf>
    <xf numFmtId="0" fontId="5" fillId="0" borderId="0" xfId="0" applyFont="1" applyFill="1" applyAlignment="1">
      <alignment horizontal="center" vertical="center" wrapText="1"/>
    </xf>
    <xf numFmtId="164" fontId="6" fillId="0" borderId="0" xfId="0" applyNumberFormat="1" applyFont="1"/>
    <xf numFmtId="2" fontId="6" fillId="0" borderId="0" xfId="0" applyNumberFormat="1" applyFont="1"/>
    <xf numFmtId="0" fontId="6" fillId="0" borderId="1" xfId="1" applyFont="1" applyFill="1"/>
    <xf numFmtId="165" fontId="6" fillId="0" borderId="0" xfId="0" applyNumberFormat="1" applyFont="1"/>
    <xf numFmtId="0" fontId="6" fillId="0" borderId="0" xfId="0" applyFont="1" applyAlignment="1">
      <alignment horizontal="center" vertical="center" wrapText="1"/>
    </xf>
    <xf numFmtId="1" fontId="7" fillId="0" borderId="0" xfId="0" applyNumberFormat="1" applyFont="1"/>
    <xf numFmtId="0" fontId="7" fillId="0" borderId="0" xfId="0" applyFont="1"/>
    <xf numFmtId="0" fontId="0" fillId="0" borderId="0" xfId="0" applyAlignment="1"/>
    <xf numFmtId="0" fontId="10" fillId="6" borderId="2" xfId="0" applyFont="1" applyFill="1" applyBorder="1" applyAlignment="1">
      <alignment horizontal="justify" vertical="center"/>
    </xf>
    <xf numFmtId="0" fontId="10" fillId="6" borderId="2" xfId="0" applyFont="1" applyFill="1" applyBorder="1" applyAlignment="1">
      <alignment vertical="center"/>
    </xf>
    <xf numFmtId="0" fontId="11" fillId="6" borderId="0" xfId="0" applyFont="1" applyFill="1" applyAlignment="1">
      <alignment horizontal="justify" vertical="center"/>
    </xf>
    <xf numFmtId="0" fontId="11" fillId="6" borderId="0" xfId="0" applyFont="1" applyFill="1" applyAlignment="1">
      <alignment vertical="center"/>
    </xf>
    <xf numFmtId="0" fontId="14" fillId="6" borderId="0" xfId="0" applyFont="1" applyFill="1" applyAlignment="1">
      <alignment horizontal="justify" vertical="center"/>
    </xf>
    <xf numFmtId="0" fontId="0" fillId="6" borderId="0" xfId="0" applyFill="1" applyAlignment="1">
      <alignment vertical="center"/>
    </xf>
    <xf numFmtId="0" fontId="15" fillId="6" borderId="0" xfId="0" applyFont="1" applyFill="1" applyAlignment="1">
      <alignment horizontal="justify" vertical="center"/>
    </xf>
    <xf numFmtId="0" fontId="11" fillId="6" borderId="4" xfId="0" applyFont="1" applyFill="1" applyBorder="1" applyAlignment="1">
      <alignment vertical="center"/>
    </xf>
    <xf numFmtId="0" fontId="0" fillId="6" borderId="0" xfId="0" applyFill="1" applyAlignment="1"/>
    <xf numFmtId="0" fontId="11" fillId="6" borderId="4" xfId="0" applyFont="1" applyFill="1" applyBorder="1" applyAlignment="1">
      <alignment horizontal="justify" vertical="center"/>
    </xf>
    <xf numFmtId="0" fontId="0" fillId="0" borderId="0" xfId="0" applyAlignment="1">
      <alignment wrapText="1"/>
    </xf>
    <xf numFmtId="0" fontId="25" fillId="0" borderId="0" xfId="0" applyFont="1" applyAlignment="1">
      <alignment horizontal="justify" vertical="center" wrapText="1"/>
    </xf>
    <xf numFmtId="0" fontId="20" fillId="6" borderId="2" xfId="0" applyFont="1" applyFill="1" applyBorder="1" applyAlignment="1">
      <alignment horizontal="justify" vertical="center" wrapText="1"/>
    </xf>
    <xf numFmtId="0" fontId="21" fillId="6" borderId="0" xfId="0" applyFont="1" applyFill="1" applyAlignment="1">
      <alignment horizontal="justify" vertical="center" wrapText="1"/>
    </xf>
    <xf numFmtId="0" fontId="0" fillId="6" borderId="0" xfId="0" applyFill="1" applyAlignment="1">
      <alignment wrapText="1"/>
    </xf>
    <xf numFmtId="0" fontId="21" fillId="6" borderId="0" xfId="0" applyFont="1" applyFill="1" applyAlignment="1">
      <alignment vertical="center" wrapText="1"/>
    </xf>
    <xf numFmtId="0" fontId="22" fillId="6" borderId="0" xfId="0" applyFont="1" applyFill="1" applyAlignment="1">
      <alignment vertical="center" wrapText="1"/>
    </xf>
    <xf numFmtId="0" fontId="23" fillId="6" borderId="0" xfId="0" applyFont="1" applyFill="1" applyAlignment="1">
      <alignment horizontal="right" vertical="center" wrapText="1"/>
    </xf>
    <xf numFmtId="0" fontId="22" fillId="6" borderId="0" xfId="0" applyFont="1" applyFill="1" applyAlignment="1">
      <alignment horizontal="justify" vertical="center" wrapText="1"/>
    </xf>
    <xf numFmtId="0" fontId="23" fillId="6" borderId="6" xfId="0" applyFont="1" applyFill="1" applyBorder="1" applyAlignment="1">
      <alignment horizontal="right" vertical="center" wrapText="1"/>
    </xf>
    <xf numFmtId="0" fontId="24" fillId="6" borderId="0" xfId="0" applyFont="1" applyFill="1" applyAlignment="1">
      <alignment vertical="center" wrapText="1"/>
    </xf>
    <xf numFmtId="0" fontId="12" fillId="6" borderId="0" xfId="0" applyFont="1" applyFill="1" applyAlignment="1">
      <alignment horizontal="right" vertical="center" wrapText="1"/>
    </xf>
    <xf numFmtId="0" fontId="24" fillId="6" borderId="0" xfId="0" applyFont="1" applyFill="1" applyAlignment="1">
      <alignment horizontal="justify" vertical="center" wrapText="1"/>
    </xf>
    <xf numFmtId="0" fontId="12" fillId="6" borderId="6" xfId="0" applyFont="1" applyFill="1" applyBorder="1" applyAlignment="1">
      <alignment horizontal="right" vertical="center" wrapText="1"/>
    </xf>
    <xf numFmtId="0" fontId="25" fillId="6" borderId="4" xfId="0" applyFont="1" applyFill="1" applyBorder="1" applyAlignment="1">
      <alignment horizontal="justify" vertical="center" wrapText="1"/>
    </xf>
    <xf numFmtId="0" fontId="1" fillId="6" borderId="0" xfId="0" applyFont="1" applyFill="1"/>
    <xf numFmtId="0" fontId="1" fillId="6" borderId="0" xfId="0" applyFont="1" applyFill="1" applyAlignment="1">
      <alignment wrapText="1"/>
    </xf>
    <xf numFmtId="0" fontId="9" fillId="6" borderId="0" xfId="0" applyFont="1" applyFill="1" applyAlignment="1">
      <alignment vertical="center" wrapText="1"/>
    </xf>
    <xf numFmtId="0" fontId="21" fillId="6" borderId="0" xfId="0" applyFont="1" applyFill="1" applyBorder="1" applyAlignment="1">
      <alignment horizontal="right" vertical="center" wrapText="1"/>
    </xf>
    <xf numFmtId="0" fontId="21" fillId="6" borderId="0" xfId="0" applyFont="1" applyFill="1" applyAlignment="1">
      <alignment vertical="center" wrapText="1"/>
    </xf>
    <xf numFmtId="0" fontId="21" fillId="6" borderId="0" xfId="0" applyFont="1" applyFill="1" applyAlignment="1">
      <alignment horizontal="justify" vertical="center" wrapText="1"/>
    </xf>
    <xf numFmtId="0" fontId="21" fillId="6" borderId="5" xfId="0" applyFont="1" applyFill="1" applyBorder="1" applyAlignment="1">
      <alignment horizontal="right" vertical="center" wrapText="1"/>
    </xf>
    <xf numFmtId="0" fontId="18" fillId="8" borderId="0" xfId="0" applyFont="1" applyFill="1" applyAlignment="1">
      <alignment vertical="center" wrapText="1"/>
    </xf>
    <xf numFmtId="0" fontId="17" fillId="8" borderId="0" xfId="0" applyFont="1" applyFill="1" applyAlignment="1">
      <alignment vertical="center" wrapText="1"/>
    </xf>
    <xf numFmtId="0" fontId="19" fillId="6" borderId="2" xfId="0" applyFont="1" applyFill="1" applyBorder="1" applyAlignment="1">
      <alignment horizontal="justify" vertical="center" wrapText="1"/>
    </xf>
    <xf numFmtId="0" fontId="21" fillId="6" borderId="3" xfId="0" applyFont="1" applyFill="1" applyBorder="1" applyAlignment="1">
      <alignment horizontal="right" vertical="center" wrapText="1"/>
    </xf>
    <xf numFmtId="0" fontId="0" fillId="0" borderId="0" xfId="0" applyFill="1" applyAlignment="1">
      <alignment wrapText="1"/>
    </xf>
  </cellXfs>
  <cellStyles count="2">
    <cellStyle name="Normal" xfId="0" builtinId="0"/>
    <cellStyle name="Note" xfId="1" builtinId="1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strRef>
              <c:f>'final-graphs'!$A$2</c:f>
              <c:strCache>
                <c:ptCount val="1"/>
                <c:pt idx="0">
                  <c:v>Whakatane</c:v>
                </c:pt>
              </c:strCache>
            </c:strRef>
          </c:tx>
          <c:marker>
            <c:symbol val="none"/>
          </c:marker>
          <c:cat>
            <c:numRef>
              <c:f>'final-graphs'!$B$1:$J$1</c:f>
              <c:numCache>
                <c:formatCode>General</c:formatCode>
                <c:ptCount val="9"/>
                <c:pt idx="0">
                  <c:v>1926</c:v>
                </c:pt>
                <c:pt idx="1">
                  <c:v>1936</c:v>
                </c:pt>
                <c:pt idx="2">
                  <c:v>1946</c:v>
                </c:pt>
                <c:pt idx="3">
                  <c:v>1956</c:v>
                </c:pt>
                <c:pt idx="4">
                  <c:v>1966</c:v>
                </c:pt>
                <c:pt idx="5">
                  <c:v>1976</c:v>
                </c:pt>
                <c:pt idx="6">
                  <c:v>1986</c:v>
                </c:pt>
                <c:pt idx="7">
                  <c:v>1996</c:v>
                </c:pt>
                <c:pt idx="8">
                  <c:v>2006</c:v>
                </c:pt>
              </c:numCache>
            </c:numRef>
          </c:cat>
          <c:val>
            <c:numRef>
              <c:f>'final-graphs'!$B$2:$J$2</c:f>
              <c:numCache>
                <c:formatCode>0</c:formatCode>
                <c:ptCount val="9"/>
                <c:pt idx="0">
                  <c:v>1343.1998458277126</c:v>
                </c:pt>
                <c:pt idx="1">
                  <c:v>1763.4585854692621</c:v>
                </c:pt>
                <c:pt idx="2">
                  <c:v>2806</c:v>
                </c:pt>
                <c:pt idx="3">
                  <c:v>5445</c:v>
                </c:pt>
                <c:pt idx="4">
                  <c:v>8637</c:v>
                </c:pt>
                <c:pt idx="5">
                  <c:v>11542</c:v>
                </c:pt>
                <c:pt idx="6">
                  <c:v>15954</c:v>
                </c:pt>
                <c:pt idx="7">
                  <c:v>16944.576716417909</c:v>
                </c:pt>
                <c:pt idx="8">
                  <c:v>17554.1623880597</c:v>
                </c:pt>
              </c:numCache>
            </c:numRef>
          </c:val>
          <c:smooth val="0"/>
        </c:ser>
        <c:ser>
          <c:idx val="1"/>
          <c:order val="1"/>
          <c:tx>
            <c:strRef>
              <c:f>'final-graphs'!$A$3</c:f>
              <c:strCache>
                <c:ptCount val="1"/>
                <c:pt idx="0">
                  <c:v>Milton</c:v>
                </c:pt>
              </c:strCache>
            </c:strRef>
          </c:tx>
          <c:marker>
            <c:symbol val="none"/>
          </c:marker>
          <c:cat>
            <c:numRef>
              <c:f>'final-graphs'!$B$1:$J$1</c:f>
              <c:numCache>
                <c:formatCode>General</c:formatCode>
                <c:ptCount val="9"/>
                <c:pt idx="0">
                  <c:v>1926</c:v>
                </c:pt>
                <c:pt idx="1">
                  <c:v>1936</c:v>
                </c:pt>
                <c:pt idx="2">
                  <c:v>1946</c:v>
                </c:pt>
                <c:pt idx="3">
                  <c:v>1956</c:v>
                </c:pt>
                <c:pt idx="4">
                  <c:v>1966</c:v>
                </c:pt>
                <c:pt idx="5">
                  <c:v>1976</c:v>
                </c:pt>
                <c:pt idx="6">
                  <c:v>1986</c:v>
                </c:pt>
                <c:pt idx="7">
                  <c:v>1996</c:v>
                </c:pt>
                <c:pt idx="8">
                  <c:v>2006</c:v>
                </c:pt>
              </c:numCache>
            </c:numRef>
          </c:cat>
          <c:val>
            <c:numRef>
              <c:f>'final-graphs'!$B$3:$J$3</c:f>
              <c:numCache>
                <c:formatCode>0</c:formatCode>
                <c:ptCount val="9"/>
                <c:pt idx="0">
                  <c:v>1505.8906973110072</c:v>
                </c:pt>
                <c:pt idx="1">
                  <c:v>1425.7368345133489</c:v>
                </c:pt>
                <c:pt idx="2">
                  <c:v>1472</c:v>
                </c:pt>
                <c:pt idx="3">
                  <c:v>1904</c:v>
                </c:pt>
                <c:pt idx="4">
                  <c:v>1861</c:v>
                </c:pt>
                <c:pt idx="5">
                  <c:v>2218</c:v>
                </c:pt>
                <c:pt idx="6">
                  <c:v>2154</c:v>
                </c:pt>
                <c:pt idx="7">
                  <c:v>1939.8414985590778</c:v>
                </c:pt>
                <c:pt idx="8">
                  <c:v>1759.8242074927953</c:v>
                </c:pt>
              </c:numCache>
            </c:numRef>
          </c:val>
          <c:smooth val="0"/>
        </c:ser>
        <c:ser>
          <c:idx val="2"/>
          <c:order val="2"/>
          <c:tx>
            <c:strRef>
              <c:f>'final-graphs'!$A$4</c:f>
              <c:strCache>
                <c:ptCount val="1"/>
                <c:pt idx="0">
                  <c:v>Balclutha</c:v>
                </c:pt>
              </c:strCache>
            </c:strRef>
          </c:tx>
          <c:marker>
            <c:symbol val="none"/>
          </c:marker>
          <c:cat>
            <c:numRef>
              <c:f>'final-graphs'!$B$1:$J$1</c:f>
              <c:numCache>
                <c:formatCode>General</c:formatCode>
                <c:ptCount val="9"/>
                <c:pt idx="0">
                  <c:v>1926</c:v>
                </c:pt>
                <c:pt idx="1">
                  <c:v>1936</c:v>
                </c:pt>
                <c:pt idx="2">
                  <c:v>1946</c:v>
                </c:pt>
                <c:pt idx="3">
                  <c:v>1956</c:v>
                </c:pt>
                <c:pt idx="4">
                  <c:v>1966</c:v>
                </c:pt>
                <c:pt idx="5">
                  <c:v>1976</c:v>
                </c:pt>
                <c:pt idx="6">
                  <c:v>1986</c:v>
                </c:pt>
                <c:pt idx="7">
                  <c:v>1996</c:v>
                </c:pt>
                <c:pt idx="8">
                  <c:v>2006</c:v>
                </c:pt>
              </c:numCache>
            </c:numRef>
          </c:cat>
          <c:val>
            <c:numRef>
              <c:f>'final-graphs'!$B$4:$J$4</c:f>
              <c:numCache>
                <c:formatCode>0</c:formatCode>
                <c:ptCount val="9"/>
                <c:pt idx="0">
                  <c:v>1544.9657054248657</c:v>
                </c:pt>
                <c:pt idx="1">
                  <c:v>1548.9733985647485</c:v>
                </c:pt>
                <c:pt idx="2">
                  <c:v>1692</c:v>
                </c:pt>
                <c:pt idx="3">
                  <c:v>3323</c:v>
                </c:pt>
                <c:pt idx="4">
                  <c:v>4419</c:v>
                </c:pt>
                <c:pt idx="5">
                  <c:v>4740</c:v>
                </c:pt>
                <c:pt idx="6">
                  <c:v>4227</c:v>
                </c:pt>
                <c:pt idx="7">
                  <c:v>3807.8670886075947</c:v>
                </c:pt>
                <c:pt idx="8">
                  <c:v>3644.3755274261603</c:v>
                </c:pt>
              </c:numCache>
            </c:numRef>
          </c:val>
          <c:smooth val="0"/>
        </c:ser>
        <c:ser>
          <c:idx val="3"/>
          <c:order val="3"/>
          <c:tx>
            <c:strRef>
              <c:f>'final-graphs'!$A$5</c:f>
              <c:strCache>
                <c:ptCount val="1"/>
                <c:pt idx="0">
                  <c:v>Kaitangata</c:v>
                </c:pt>
              </c:strCache>
            </c:strRef>
          </c:tx>
          <c:marker>
            <c:symbol val="none"/>
          </c:marker>
          <c:cat>
            <c:numRef>
              <c:f>'final-graphs'!$B$1:$J$1</c:f>
              <c:numCache>
                <c:formatCode>General</c:formatCode>
                <c:ptCount val="9"/>
                <c:pt idx="0">
                  <c:v>1926</c:v>
                </c:pt>
                <c:pt idx="1">
                  <c:v>1936</c:v>
                </c:pt>
                <c:pt idx="2">
                  <c:v>1946</c:v>
                </c:pt>
                <c:pt idx="3">
                  <c:v>1956</c:v>
                </c:pt>
                <c:pt idx="4">
                  <c:v>1966</c:v>
                </c:pt>
                <c:pt idx="5">
                  <c:v>1976</c:v>
                </c:pt>
                <c:pt idx="6">
                  <c:v>1986</c:v>
                </c:pt>
                <c:pt idx="7">
                  <c:v>1996</c:v>
                </c:pt>
                <c:pt idx="8">
                  <c:v>2006</c:v>
                </c:pt>
              </c:numCache>
            </c:numRef>
          </c:cat>
          <c:val>
            <c:numRef>
              <c:f>'final-graphs'!$B$5:$J$5</c:f>
              <c:numCache>
                <c:formatCode>0</c:formatCode>
                <c:ptCount val="9"/>
                <c:pt idx="0">
                  <c:v>1549.9753218497194</c:v>
                </c:pt>
                <c:pt idx="1">
                  <c:v>1377.6445168347539</c:v>
                </c:pt>
                <c:pt idx="2">
                  <c:v>1351</c:v>
                </c:pt>
                <c:pt idx="3">
                  <c:v>1286</c:v>
                </c:pt>
                <c:pt idx="4">
                  <c:v>1208</c:v>
                </c:pt>
                <c:pt idx="5">
                  <c:v>1120</c:v>
                </c:pt>
                <c:pt idx="6">
                  <c:v>972</c:v>
                </c:pt>
                <c:pt idx="7">
                  <c:v>871.98713826366566</c:v>
                </c:pt>
                <c:pt idx="8">
                  <c:v>793.85209003215436</c:v>
                </c:pt>
              </c:numCache>
            </c:numRef>
          </c:val>
          <c:smooth val="0"/>
        </c:ser>
        <c:ser>
          <c:idx val="4"/>
          <c:order val="4"/>
          <c:tx>
            <c:strRef>
              <c:f>'final-graphs'!$A$6</c:f>
              <c:strCache>
                <c:ptCount val="1"/>
                <c:pt idx="0">
                  <c:v>Morrinsville</c:v>
                </c:pt>
              </c:strCache>
            </c:strRef>
          </c:tx>
          <c:marker>
            <c:symbol val="none"/>
          </c:marker>
          <c:cat>
            <c:numRef>
              <c:f>'final-graphs'!$B$1:$J$1</c:f>
              <c:numCache>
                <c:formatCode>General</c:formatCode>
                <c:ptCount val="9"/>
                <c:pt idx="0">
                  <c:v>1926</c:v>
                </c:pt>
                <c:pt idx="1">
                  <c:v>1936</c:v>
                </c:pt>
                <c:pt idx="2">
                  <c:v>1946</c:v>
                </c:pt>
                <c:pt idx="3">
                  <c:v>1956</c:v>
                </c:pt>
                <c:pt idx="4">
                  <c:v>1966</c:v>
                </c:pt>
                <c:pt idx="5">
                  <c:v>1976</c:v>
                </c:pt>
                <c:pt idx="6">
                  <c:v>1986</c:v>
                </c:pt>
                <c:pt idx="7">
                  <c:v>1996</c:v>
                </c:pt>
                <c:pt idx="8">
                  <c:v>2006</c:v>
                </c:pt>
              </c:numCache>
            </c:numRef>
          </c:cat>
          <c:val>
            <c:numRef>
              <c:f>'final-graphs'!$B$6:$J$6</c:f>
              <c:numCache>
                <c:formatCode>0</c:formatCode>
                <c:ptCount val="9"/>
                <c:pt idx="0">
                  <c:v>1554.8555791096551</c:v>
                </c:pt>
                <c:pt idx="1">
                  <c:v>1827.5658508383119</c:v>
                </c:pt>
                <c:pt idx="2">
                  <c:v>2175</c:v>
                </c:pt>
                <c:pt idx="3">
                  <c:v>3552</c:v>
                </c:pt>
                <c:pt idx="4">
                  <c:v>4497</c:v>
                </c:pt>
                <c:pt idx="5">
                  <c:v>4783</c:v>
                </c:pt>
                <c:pt idx="6">
                  <c:v>5281</c:v>
                </c:pt>
                <c:pt idx="7">
                  <c:v>5667.0468303826392</c:v>
                </c:pt>
                <c:pt idx="8">
                  <c:v>6083.2535693889213</c:v>
                </c:pt>
              </c:numCache>
            </c:numRef>
          </c:val>
          <c:smooth val="0"/>
        </c:ser>
        <c:ser>
          <c:idx val="5"/>
          <c:order val="5"/>
          <c:tx>
            <c:strRef>
              <c:f>'final-graphs'!$A$7</c:f>
              <c:strCache>
                <c:ptCount val="1"/>
                <c:pt idx="0">
                  <c:v>Ohakune</c:v>
                </c:pt>
              </c:strCache>
            </c:strRef>
          </c:tx>
          <c:marker>
            <c:symbol val="none"/>
          </c:marker>
          <c:cat>
            <c:numRef>
              <c:f>'final-graphs'!$B$1:$J$1</c:f>
              <c:numCache>
                <c:formatCode>General</c:formatCode>
                <c:ptCount val="9"/>
                <c:pt idx="0">
                  <c:v>1926</c:v>
                </c:pt>
                <c:pt idx="1">
                  <c:v>1936</c:v>
                </c:pt>
                <c:pt idx="2">
                  <c:v>1946</c:v>
                </c:pt>
                <c:pt idx="3">
                  <c:v>1956</c:v>
                </c:pt>
                <c:pt idx="4">
                  <c:v>1966</c:v>
                </c:pt>
                <c:pt idx="5">
                  <c:v>1976</c:v>
                </c:pt>
                <c:pt idx="6">
                  <c:v>1986</c:v>
                </c:pt>
                <c:pt idx="7">
                  <c:v>1996</c:v>
                </c:pt>
                <c:pt idx="8">
                  <c:v>2006</c:v>
                </c:pt>
              </c:numCache>
            </c:numRef>
          </c:cat>
          <c:val>
            <c:numRef>
              <c:f>'final-graphs'!$B$7:$J$7</c:f>
              <c:numCache>
                <c:formatCode>0</c:formatCode>
                <c:ptCount val="9"/>
                <c:pt idx="0">
                  <c:v>1559.9712034773161</c:v>
                </c:pt>
                <c:pt idx="1">
                  <c:v>1431.5996429541663</c:v>
                </c:pt>
                <c:pt idx="2">
                  <c:v>1411</c:v>
                </c:pt>
                <c:pt idx="3">
                  <c:v>1626</c:v>
                </c:pt>
                <c:pt idx="4">
                  <c:v>1458</c:v>
                </c:pt>
                <c:pt idx="5">
                  <c:v>1399</c:v>
                </c:pt>
                <c:pt idx="6">
                  <c:v>1496</c:v>
                </c:pt>
                <c:pt idx="7">
                  <c:v>1402.9308755760369</c:v>
                </c:pt>
                <c:pt idx="8">
                  <c:v>1116.8294930875577</c:v>
                </c:pt>
              </c:numCache>
            </c:numRef>
          </c:val>
          <c:smooth val="0"/>
        </c:ser>
        <c:ser>
          <c:idx val="6"/>
          <c:order val="6"/>
          <c:tx>
            <c:strRef>
              <c:f>'final-graphs'!$A$8</c:f>
              <c:strCache>
                <c:ptCount val="1"/>
                <c:pt idx="0">
                  <c:v>Bluff</c:v>
                </c:pt>
              </c:strCache>
            </c:strRef>
          </c:tx>
          <c:marker>
            <c:symbol val="none"/>
          </c:marker>
          <c:cat>
            <c:numRef>
              <c:f>'final-graphs'!$B$1:$J$1</c:f>
              <c:numCache>
                <c:formatCode>General</c:formatCode>
                <c:ptCount val="9"/>
                <c:pt idx="0">
                  <c:v>1926</c:v>
                </c:pt>
                <c:pt idx="1">
                  <c:v>1936</c:v>
                </c:pt>
                <c:pt idx="2">
                  <c:v>1946</c:v>
                </c:pt>
                <c:pt idx="3">
                  <c:v>1956</c:v>
                </c:pt>
                <c:pt idx="4">
                  <c:v>1966</c:v>
                </c:pt>
                <c:pt idx="5">
                  <c:v>1976</c:v>
                </c:pt>
                <c:pt idx="6">
                  <c:v>1986</c:v>
                </c:pt>
                <c:pt idx="7">
                  <c:v>1996</c:v>
                </c:pt>
                <c:pt idx="8">
                  <c:v>2006</c:v>
                </c:pt>
              </c:numCache>
            </c:numRef>
          </c:cat>
          <c:val>
            <c:numRef>
              <c:f>'final-graphs'!$B$8:$J$8</c:f>
              <c:numCache>
                <c:formatCode>0</c:formatCode>
                <c:ptCount val="9"/>
                <c:pt idx="0">
                  <c:v>1579.8157224002332</c:v>
                </c:pt>
                <c:pt idx="1">
                  <c:v>2046.8305418001748</c:v>
                </c:pt>
                <c:pt idx="2">
                  <c:v>2059</c:v>
                </c:pt>
                <c:pt idx="3">
                  <c:v>2693</c:v>
                </c:pt>
                <c:pt idx="4">
                  <c:v>3279</c:v>
                </c:pt>
                <c:pt idx="5">
                  <c:v>3016</c:v>
                </c:pt>
                <c:pt idx="6">
                  <c:v>2537</c:v>
                </c:pt>
                <c:pt idx="7">
                  <c:v>2010.5109223300969</c:v>
                </c:pt>
                <c:pt idx="8">
                  <c:v>1644.1237864077668</c:v>
                </c:pt>
              </c:numCache>
            </c:numRef>
          </c:val>
          <c:smooth val="0"/>
        </c:ser>
        <c:ser>
          <c:idx val="7"/>
          <c:order val="7"/>
          <c:tx>
            <c:strRef>
              <c:f>'final-graphs'!$A$9</c:f>
              <c:strCache>
                <c:ptCount val="1"/>
                <c:pt idx="0">
                  <c:v>Te Awamutu</c:v>
                </c:pt>
              </c:strCache>
            </c:strRef>
          </c:tx>
          <c:marker>
            <c:symbol val="none"/>
          </c:marker>
          <c:cat>
            <c:numRef>
              <c:f>'final-graphs'!$B$1:$J$1</c:f>
              <c:numCache>
                <c:formatCode>General</c:formatCode>
                <c:ptCount val="9"/>
                <c:pt idx="0">
                  <c:v>1926</c:v>
                </c:pt>
                <c:pt idx="1">
                  <c:v>1936</c:v>
                </c:pt>
                <c:pt idx="2">
                  <c:v>1946</c:v>
                </c:pt>
                <c:pt idx="3">
                  <c:v>1956</c:v>
                </c:pt>
                <c:pt idx="4">
                  <c:v>1966</c:v>
                </c:pt>
                <c:pt idx="5">
                  <c:v>1976</c:v>
                </c:pt>
                <c:pt idx="6">
                  <c:v>1986</c:v>
                </c:pt>
                <c:pt idx="7">
                  <c:v>1996</c:v>
                </c:pt>
                <c:pt idx="8">
                  <c:v>2006</c:v>
                </c:pt>
              </c:numCache>
            </c:numRef>
          </c:cat>
          <c:val>
            <c:numRef>
              <c:f>'final-graphs'!$B$9:$J$9</c:f>
              <c:numCache>
                <c:formatCode>0</c:formatCode>
                <c:ptCount val="9"/>
                <c:pt idx="0">
                  <c:v>1657.6307188282906</c:v>
                </c:pt>
                <c:pt idx="1">
                  <c:v>2263.0882250915397</c:v>
                </c:pt>
                <c:pt idx="2">
                  <c:v>3017</c:v>
                </c:pt>
                <c:pt idx="3">
                  <c:v>4614</c:v>
                </c:pt>
                <c:pt idx="4">
                  <c:v>6719</c:v>
                </c:pt>
                <c:pt idx="5">
                  <c:v>7619</c:v>
                </c:pt>
                <c:pt idx="6">
                  <c:v>8096</c:v>
                </c:pt>
                <c:pt idx="7">
                  <c:v>8766.5276073619625</c:v>
                </c:pt>
                <c:pt idx="8">
                  <c:v>9229.067484662577</c:v>
                </c:pt>
              </c:numCache>
            </c:numRef>
          </c:val>
          <c:smooth val="0"/>
        </c:ser>
        <c:ser>
          <c:idx val="8"/>
          <c:order val="8"/>
          <c:tx>
            <c:strRef>
              <c:f>'final-graphs'!$A$10</c:f>
              <c:strCache>
                <c:ptCount val="1"/>
                <c:pt idx="0">
                  <c:v>Foxton</c:v>
                </c:pt>
              </c:strCache>
            </c:strRef>
          </c:tx>
          <c:marker>
            <c:symbol val="none"/>
          </c:marker>
          <c:cat>
            <c:numRef>
              <c:f>'final-graphs'!$B$1:$J$1</c:f>
              <c:numCache>
                <c:formatCode>General</c:formatCode>
                <c:ptCount val="9"/>
                <c:pt idx="0">
                  <c:v>1926</c:v>
                </c:pt>
                <c:pt idx="1">
                  <c:v>1936</c:v>
                </c:pt>
                <c:pt idx="2">
                  <c:v>1946</c:v>
                </c:pt>
                <c:pt idx="3">
                  <c:v>1956</c:v>
                </c:pt>
                <c:pt idx="4">
                  <c:v>1966</c:v>
                </c:pt>
                <c:pt idx="5">
                  <c:v>1976</c:v>
                </c:pt>
                <c:pt idx="6">
                  <c:v>1986</c:v>
                </c:pt>
                <c:pt idx="7">
                  <c:v>1996</c:v>
                </c:pt>
                <c:pt idx="8">
                  <c:v>2006</c:v>
                </c:pt>
              </c:numCache>
            </c:numRef>
          </c:cat>
          <c:val>
            <c:numRef>
              <c:f>'final-graphs'!$B$10:$J$10</c:f>
              <c:numCache>
                <c:formatCode>0</c:formatCode>
                <c:ptCount val="9"/>
                <c:pt idx="0">
                  <c:v>1708.7085748034403</c:v>
                </c:pt>
                <c:pt idx="1">
                  <c:v>1617.0266878299067</c:v>
                </c:pt>
                <c:pt idx="2">
                  <c:v>1651</c:v>
                </c:pt>
                <c:pt idx="3">
                  <c:v>2525</c:v>
                </c:pt>
                <c:pt idx="4">
                  <c:v>2819</c:v>
                </c:pt>
                <c:pt idx="5">
                  <c:v>2789</c:v>
                </c:pt>
                <c:pt idx="6">
                  <c:v>2729</c:v>
                </c:pt>
                <c:pt idx="7">
                  <c:v>2662.7328918322296</c:v>
                </c:pt>
                <c:pt idx="8">
                  <c:v>2463.9315673289184</c:v>
                </c:pt>
              </c:numCache>
            </c:numRef>
          </c:val>
          <c:smooth val="0"/>
        </c:ser>
        <c:ser>
          <c:idx val="9"/>
          <c:order val="9"/>
          <c:tx>
            <c:strRef>
              <c:f>'final-graphs'!$A$11</c:f>
              <c:strCache>
                <c:ptCount val="1"/>
                <c:pt idx="0">
                  <c:v>Huntly</c:v>
                </c:pt>
              </c:strCache>
            </c:strRef>
          </c:tx>
          <c:marker>
            <c:symbol val="none"/>
          </c:marker>
          <c:cat>
            <c:numRef>
              <c:f>'final-graphs'!$B$1:$J$1</c:f>
              <c:numCache>
                <c:formatCode>General</c:formatCode>
                <c:ptCount val="9"/>
                <c:pt idx="0">
                  <c:v>1926</c:v>
                </c:pt>
                <c:pt idx="1">
                  <c:v>1936</c:v>
                </c:pt>
                <c:pt idx="2">
                  <c:v>1946</c:v>
                </c:pt>
                <c:pt idx="3">
                  <c:v>1956</c:v>
                </c:pt>
                <c:pt idx="4">
                  <c:v>1966</c:v>
                </c:pt>
                <c:pt idx="5">
                  <c:v>1976</c:v>
                </c:pt>
                <c:pt idx="6">
                  <c:v>1986</c:v>
                </c:pt>
                <c:pt idx="7">
                  <c:v>1996</c:v>
                </c:pt>
                <c:pt idx="8">
                  <c:v>2006</c:v>
                </c:pt>
              </c:numCache>
            </c:numRef>
          </c:cat>
          <c:val>
            <c:numRef>
              <c:f>'final-graphs'!$B$11:$J$11</c:f>
              <c:numCache>
                <c:formatCode>0</c:formatCode>
                <c:ptCount val="9"/>
                <c:pt idx="0">
                  <c:v>1745.1422239352478</c:v>
                </c:pt>
                <c:pt idx="1">
                  <c:v>1976.1318943919832</c:v>
                </c:pt>
                <c:pt idx="2">
                  <c:v>2870</c:v>
                </c:pt>
                <c:pt idx="3">
                  <c:v>4187</c:v>
                </c:pt>
                <c:pt idx="4">
                  <c:v>5401</c:v>
                </c:pt>
                <c:pt idx="5">
                  <c:v>5559</c:v>
                </c:pt>
                <c:pt idx="6">
                  <c:v>6750</c:v>
                </c:pt>
                <c:pt idx="7">
                  <c:v>6062.6331487004691</c:v>
                </c:pt>
                <c:pt idx="8">
                  <c:v>5651.3634426927993</c:v>
                </c:pt>
              </c:numCache>
            </c:numRef>
          </c:val>
          <c:smooth val="0"/>
        </c:ser>
        <c:dLbls>
          <c:showLegendKey val="0"/>
          <c:showVal val="0"/>
          <c:showCatName val="0"/>
          <c:showSerName val="0"/>
          <c:showPercent val="0"/>
          <c:showBubbleSize val="0"/>
        </c:dLbls>
        <c:smooth val="0"/>
        <c:axId val="227699656"/>
        <c:axId val="227699264"/>
      </c:lineChart>
      <c:catAx>
        <c:axId val="227699656"/>
        <c:scaling>
          <c:orientation val="minMax"/>
        </c:scaling>
        <c:delete val="0"/>
        <c:axPos val="b"/>
        <c:numFmt formatCode="General" sourceLinked="1"/>
        <c:majorTickMark val="out"/>
        <c:minorTickMark val="none"/>
        <c:tickLblPos val="nextTo"/>
        <c:crossAx val="227699264"/>
        <c:crosses val="autoZero"/>
        <c:auto val="1"/>
        <c:lblAlgn val="ctr"/>
        <c:lblOffset val="100"/>
        <c:noMultiLvlLbl val="0"/>
      </c:catAx>
      <c:valAx>
        <c:axId val="227699264"/>
        <c:scaling>
          <c:orientation val="minMax"/>
        </c:scaling>
        <c:delete val="0"/>
        <c:axPos val="l"/>
        <c:majorGridlines/>
        <c:numFmt formatCode="0" sourceLinked="1"/>
        <c:majorTickMark val="out"/>
        <c:minorTickMark val="none"/>
        <c:tickLblPos val="nextTo"/>
        <c:crossAx val="227699656"/>
        <c:crosses val="autoZero"/>
        <c:crossBetween val="between"/>
      </c:valAx>
    </c:plotArea>
    <c:legend>
      <c:legendPos val="r"/>
      <c:layout/>
      <c:overlay val="0"/>
    </c:legend>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strRef>
              <c:f>'final-graphs'!$A$14</c:f>
              <c:strCache>
                <c:ptCount val="1"/>
                <c:pt idx="0">
                  <c:v>Waitara</c:v>
                </c:pt>
              </c:strCache>
            </c:strRef>
          </c:tx>
          <c:marker>
            <c:symbol val="none"/>
          </c:marker>
          <c:cat>
            <c:numRef>
              <c:f>'final-graphs'!$B$13:$J$13</c:f>
              <c:numCache>
                <c:formatCode>General</c:formatCode>
                <c:ptCount val="9"/>
                <c:pt idx="0">
                  <c:v>1926</c:v>
                </c:pt>
                <c:pt idx="1">
                  <c:v>1936</c:v>
                </c:pt>
                <c:pt idx="2">
                  <c:v>1946</c:v>
                </c:pt>
                <c:pt idx="3">
                  <c:v>1956</c:v>
                </c:pt>
                <c:pt idx="4">
                  <c:v>1966</c:v>
                </c:pt>
                <c:pt idx="5">
                  <c:v>1976</c:v>
                </c:pt>
                <c:pt idx="6">
                  <c:v>1986</c:v>
                </c:pt>
                <c:pt idx="7">
                  <c:v>1996</c:v>
                </c:pt>
                <c:pt idx="8">
                  <c:v>2006</c:v>
                </c:pt>
              </c:numCache>
            </c:numRef>
          </c:cat>
          <c:val>
            <c:numRef>
              <c:f>'final-graphs'!$B$14:$J$14</c:f>
              <c:numCache>
                <c:formatCode>0</c:formatCode>
                <c:ptCount val="9"/>
                <c:pt idx="0">
                  <c:v>1750.0138415146573</c:v>
                </c:pt>
                <c:pt idx="1">
                  <c:v>2011.2403974492067</c:v>
                </c:pt>
                <c:pt idx="2">
                  <c:v>2295</c:v>
                </c:pt>
                <c:pt idx="3">
                  <c:v>3675</c:v>
                </c:pt>
                <c:pt idx="4">
                  <c:v>4790</c:v>
                </c:pt>
                <c:pt idx="5">
                  <c:v>6036</c:v>
                </c:pt>
                <c:pt idx="6">
                  <c:v>6482</c:v>
                </c:pt>
                <c:pt idx="7">
                  <c:v>5940.593850390087</c:v>
                </c:pt>
                <c:pt idx="8">
                  <c:v>5652.0422212023868</c:v>
                </c:pt>
              </c:numCache>
            </c:numRef>
          </c:val>
          <c:smooth val="0"/>
        </c:ser>
        <c:ser>
          <c:idx val="1"/>
          <c:order val="1"/>
          <c:tx>
            <c:strRef>
              <c:f>'final-graphs'!$A$15</c:f>
              <c:strCache>
                <c:ptCount val="1"/>
                <c:pt idx="0">
                  <c:v>Carterton</c:v>
                </c:pt>
              </c:strCache>
            </c:strRef>
          </c:tx>
          <c:marker>
            <c:symbol val="none"/>
          </c:marker>
          <c:cat>
            <c:numRef>
              <c:f>'final-graphs'!$B$13:$J$13</c:f>
              <c:numCache>
                <c:formatCode>General</c:formatCode>
                <c:ptCount val="9"/>
                <c:pt idx="0">
                  <c:v>1926</c:v>
                </c:pt>
                <c:pt idx="1">
                  <c:v>1936</c:v>
                </c:pt>
                <c:pt idx="2">
                  <c:v>1946</c:v>
                </c:pt>
                <c:pt idx="3">
                  <c:v>1956</c:v>
                </c:pt>
                <c:pt idx="4">
                  <c:v>1966</c:v>
                </c:pt>
                <c:pt idx="5">
                  <c:v>1976</c:v>
                </c:pt>
                <c:pt idx="6">
                  <c:v>1986</c:v>
                </c:pt>
                <c:pt idx="7">
                  <c:v>1996</c:v>
                </c:pt>
                <c:pt idx="8">
                  <c:v>2006</c:v>
                </c:pt>
              </c:numCache>
            </c:numRef>
          </c:cat>
          <c:val>
            <c:numRef>
              <c:f>'final-graphs'!$B$15:$J$15</c:f>
              <c:numCache>
                <c:formatCode>0</c:formatCode>
                <c:ptCount val="9"/>
                <c:pt idx="0">
                  <c:v>1758.0757447122662</c:v>
                </c:pt>
                <c:pt idx="1">
                  <c:v>1935.3945590786609</c:v>
                </c:pt>
                <c:pt idx="2">
                  <c:v>1918</c:v>
                </c:pt>
                <c:pt idx="3">
                  <c:v>2590</c:v>
                </c:pt>
                <c:pt idx="4">
                  <c:v>3536</c:v>
                </c:pt>
                <c:pt idx="5">
                  <c:v>3985</c:v>
                </c:pt>
                <c:pt idx="6">
                  <c:v>3902</c:v>
                </c:pt>
                <c:pt idx="7">
                  <c:v>3967.5011990407675</c:v>
                </c:pt>
                <c:pt idx="8">
                  <c:v>3877.0471622701839</c:v>
                </c:pt>
              </c:numCache>
            </c:numRef>
          </c:val>
          <c:smooth val="0"/>
        </c:ser>
        <c:ser>
          <c:idx val="2"/>
          <c:order val="2"/>
          <c:tx>
            <c:strRef>
              <c:f>'final-graphs'!$A$16</c:f>
              <c:strCache>
                <c:ptCount val="1"/>
                <c:pt idx="0">
                  <c:v>Paeroa</c:v>
                </c:pt>
              </c:strCache>
            </c:strRef>
          </c:tx>
          <c:marker>
            <c:symbol val="none"/>
          </c:marker>
          <c:cat>
            <c:numRef>
              <c:f>'final-graphs'!$B$13:$J$13</c:f>
              <c:numCache>
                <c:formatCode>General</c:formatCode>
                <c:ptCount val="9"/>
                <c:pt idx="0">
                  <c:v>1926</c:v>
                </c:pt>
                <c:pt idx="1">
                  <c:v>1936</c:v>
                </c:pt>
                <c:pt idx="2">
                  <c:v>1946</c:v>
                </c:pt>
                <c:pt idx="3">
                  <c:v>1956</c:v>
                </c:pt>
                <c:pt idx="4">
                  <c:v>1966</c:v>
                </c:pt>
                <c:pt idx="5">
                  <c:v>1976</c:v>
                </c:pt>
                <c:pt idx="6">
                  <c:v>1986</c:v>
                </c:pt>
                <c:pt idx="7">
                  <c:v>1996</c:v>
                </c:pt>
                <c:pt idx="8">
                  <c:v>2006</c:v>
                </c:pt>
              </c:numCache>
            </c:numRef>
          </c:cat>
          <c:val>
            <c:numRef>
              <c:f>'final-graphs'!$B$16:$J$16</c:f>
              <c:numCache>
                <c:formatCode>0</c:formatCode>
                <c:ptCount val="9"/>
                <c:pt idx="0">
                  <c:v>1763.4585854692621</c:v>
                </c:pt>
                <c:pt idx="1">
                  <c:v>2186.7700520331473</c:v>
                </c:pt>
                <c:pt idx="2">
                  <c:v>2253</c:v>
                </c:pt>
                <c:pt idx="3">
                  <c:v>2871</c:v>
                </c:pt>
                <c:pt idx="4">
                  <c:v>3129</c:v>
                </c:pt>
                <c:pt idx="5">
                  <c:v>3796</c:v>
                </c:pt>
                <c:pt idx="6">
                  <c:v>3661</c:v>
                </c:pt>
                <c:pt idx="7">
                  <c:v>3620.7059748427673</c:v>
                </c:pt>
                <c:pt idx="8">
                  <c:v>3355.9166666666665</c:v>
                </c:pt>
              </c:numCache>
            </c:numRef>
          </c:val>
          <c:smooth val="0"/>
        </c:ser>
        <c:ser>
          <c:idx val="3"/>
          <c:order val="3"/>
          <c:tx>
            <c:strRef>
              <c:f>'final-graphs'!$A$17</c:f>
              <c:strCache>
                <c:ptCount val="1"/>
                <c:pt idx="0">
                  <c:v>Waipukurau</c:v>
                </c:pt>
              </c:strCache>
            </c:strRef>
          </c:tx>
          <c:marker>
            <c:symbol val="none"/>
          </c:marker>
          <c:cat>
            <c:numRef>
              <c:f>'final-graphs'!$B$13:$J$13</c:f>
              <c:numCache>
                <c:formatCode>General</c:formatCode>
                <c:ptCount val="9"/>
                <c:pt idx="0">
                  <c:v>1926</c:v>
                </c:pt>
                <c:pt idx="1">
                  <c:v>1936</c:v>
                </c:pt>
                <c:pt idx="2">
                  <c:v>1946</c:v>
                </c:pt>
                <c:pt idx="3">
                  <c:v>1956</c:v>
                </c:pt>
                <c:pt idx="4">
                  <c:v>1966</c:v>
                </c:pt>
                <c:pt idx="5">
                  <c:v>1976</c:v>
                </c:pt>
                <c:pt idx="6">
                  <c:v>1986</c:v>
                </c:pt>
                <c:pt idx="7">
                  <c:v>1996</c:v>
                </c:pt>
                <c:pt idx="8">
                  <c:v>2006</c:v>
                </c:pt>
              </c:numCache>
            </c:numRef>
          </c:cat>
          <c:val>
            <c:numRef>
              <c:f>'final-graphs'!$B$17:$J$17</c:f>
              <c:numCache>
                <c:formatCode>0</c:formatCode>
                <c:ptCount val="9"/>
                <c:pt idx="0">
                  <c:v>1798.0943214629451</c:v>
                </c:pt>
                <c:pt idx="1">
                  <c:v>2111.1645813282003</c:v>
                </c:pt>
                <c:pt idx="2">
                  <c:v>2095</c:v>
                </c:pt>
                <c:pt idx="3">
                  <c:v>2886</c:v>
                </c:pt>
                <c:pt idx="4">
                  <c:v>3569</c:v>
                </c:pt>
                <c:pt idx="5">
                  <c:v>3632</c:v>
                </c:pt>
                <c:pt idx="6">
                  <c:v>3855</c:v>
                </c:pt>
                <c:pt idx="7">
                  <c:v>3687</c:v>
                </c:pt>
                <c:pt idx="8">
                  <c:v>3618</c:v>
                </c:pt>
              </c:numCache>
            </c:numRef>
          </c:val>
          <c:smooth val="0"/>
        </c:ser>
        <c:ser>
          <c:idx val="4"/>
          <c:order val="4"/>
          <c:tx>
            <c:strRef>
              <c:f>'final-graphs'!$A$18</c:f>
              <c:strCache>
                <c:ptCount val="1"/>
                <c:pt idx="0">
                  <c:v>Temuka</c:v>
                </c:pt>
              </c:strCache>
            </c:strRef>
          </c:tx>
          <c:marker>
            <c:symbol val="none"/>
          </c:marker>
          <c:cat>
            <c:numRef>
              <c:f>'final-graphs'!$B$13:$J$13</c:f>
              <c:numCache>
                <c:formatCode>General</c:formatCode>
                <c:ptCount val="9"/>
                <c:pt idx="0">
                  <c:v>1926</c:v>
                </c:pt>
                <c:pt idx="1">
                  <c:v>1936</c:v>
                </c:pt>
                <c:pt idx="2">
                  <c:v>1946</c:v>
                </c:pt>
                <c:pt idx="3">
                  <c:v>1956</c:v>
                </c:pt>
                <c:pt idx="4">
                  <c:v>1966</c:v>
                </c:pt>
                <c:pt idx="5">
                  <c:v>1976</c:v>
                </c:pt>
                <c:pt idx="6">
                  <c:v>1986</c:v>
                </c:pt>
                <c:pt idx="7">
                  <c:v>1996</c:v>
                </c:pt>
                <c:pt idx="8">
                  <c:v>2006</c:v>
                </c:pt>
              </c:numCache>
            </c:numRef>
          </c:cat>
          <c:val>
            <c:numRef>
              <c:f>'final-graphs'!$B$18:$J$18</c:f>
              <c:numCache>
                <c:formatCode>0</c:formatCode>
                <c:ptCount val="9"/>
                <c:pt idx="0">
                  <c:v>1851.5511267821553</c:v>
                </c:pt>
                <c:pt idx="1">
                  <c:v>1913.6366702437526</c:v>
                </c:pt>
                <c:pt idx="2">
                  <c:v>2081</c:v>
                </c:pt>
                <c:pt idx="3">
                  <c:v>2254</c:v>
                </c:pt>
                <c:pt idx="4">
                  <c:v>2703</c:v>
                </c:pt>
                <c:pt idx="5">
                  <c:v>3711</c:v>
                </c:pt>
                <c:pt idx="6">
                  <c:v>3919</c:v>
                </c:pt>
                <c:pt idx="7">
                  <c:v>3878.7575039494468</c:v>
                </c:pt>
                <c:pt idx="8">
                  <c:v>3918.9999999999995</c:v>
                </c:pt>
              </c:numCache>
            </c:numRef>
          </c:val>
          <c:smooth val="0"/>
        </c:ser>
        <c:ser>
          <c:idx val="5"/>
          <c:order val="5"/>
          <c:tx>
            <c:strRef>
              <c:f>'final-graphs'!$A$19</c:f>
              <c:strCache>
                <c:ptCount val="1"/>
                <c:pt idx="0">
                  <c:v>Dargaville</c:v>
                </c:pt>
              </c:strCache>
            </c:strRef>
          </c:tx>
          <c:marker>
            <c:symbol val="none"/>
          </c:marker>
          <c:cat>
            <c:numRef>
              <c:f>'final-graphs'!$B$13:$J$13</c:f>
              <c:numCache>
                <c:formatCode>General</c:formatCode>
                <c:ptCount val="9"/>
                <c:pt idx="0">
                  <c:v>1926</c:v>
                </c:pt>
                <c:pt idx="1">
                  <c:v>1936</c:v>
                </c:pt>
                <c:pt idx="2">
                  <c:v>1946</c:v>
                </c:pt>
                <c:pt idx="3">
                  <c:v>1956</c:v>
                </c:pt>
                <c:pt idx="4">
                  <c:v>1966</c:v>
                </c:pt>
                <c:pt idx="5">
                  <c:v>1976</c:v>
                </c:pt>
                <c:pt idx="6">
                  <c:v>1986</c:v>
                </c:pt>
                <c:pt idx="7">
                  <c:v>1996</c:v>
                </c:pt>
                <c:pt idx="8">
                  <c:v>2006</c:v>
                </c:pt>
              </c:numCache>
            </c:numRef>
          </c:cat>
          <c:val>
            <c:numRef>
              <c:f>'final-graphs'!$B$19:$J$19</c:f>
              <c:numCache>
                <c:formatCode>0</c:formatCode>
                <c:ptCount val="9"/>
                <c:pt idx="0">
                  <c:v>1958.4594551722269</c:v>
                </c:pt>
                <c:pt idx="1">
                  <c:v>2217.2777182386917</c:v>
                </c:pt>
                <c:pt idx="2">
                  <c:v>2370</c:v>
                </c:pt>
                <c:pt idx="3">
                  <c:v>3306</c:v>
                </c:pt>
                <c:pt idx="4">
                  <c:v>3902</c:v>
                </c:pt>
                <c:pt idx="5">
                  <c:v>4559</c:v>
                </c:pt>
                <c:pt idx="6">
                  <c:v>4859</c:v>
                </c:pt>
                <c:pt idx="7">
                  <c:v>4469.6364238410597</c:v>
                </c:pt>
                <c:pt idx="8">
                  <c:v>4228.2953642384109</c:v>
                </c:pt>
              </c:numCache>
            </c:numRef>
          </c:val>
          <c:smooth val="0"/>
        </c:ser>
        <c:ser>
          <c:idx val="6"/>
          <c:order val="6"/>
          <c:tx>
            <c:strRef>
              <c:f>'final-graphs'!$A$20</c:f>
              <c:strCache>
                <c:ptCount val="1"/>
                <c:pt idx="0">
                  <c:v>Cambridge</c:v>
                </c:pt>
              </c:strCache>
            </c:strRef>
          </c:tx>
          <c:marker>
            <c:symbol val="none"/>
          </c:marker>
          <c:cat>
            <c:numRef>
              <c:f>'final-graphs'!$B$13:$J$13</c:f>
              <c:numCache>
                <c:formatCode>General</c:formatCode>
                <c:ptCount val="9"/>
                <c:pt idx="0">
                  <c:v>1926</c:v>
                </c:pt>
                <c:pt idx="1">
                  <c:v>1936</c:v>
                </c:pt>
                <c:pt idx="2">
                  <c:v>1946</c:v>
                </c:pt>
                <c:pt idx="3">
                  <c:v>1956</c:v>
                </c:pt>
                <c:pt idx="4">
                  <c:v>1966</c:v>
                </c:pt>
                <c:pt idx="5">
                  <c:v>1976</c:v>
                </c:pt>
                <c:pt idx="6">
                  <c:v>1986</c:v>
                </c:pt>
                <c:pt idx="7">
                  <c:v>1996</c:v>
                </c:pt>
                <c:pt idx="8">
                  <c:v>2006</c:v>
                </c:pt>
              </c:numCache>
            </c:numRef>
          </c:cat>
          <c:val>
            <c:numRef>
              <c:f>'final-graphs'!$B$20:$J$20</c:f>
              <c:numCache>
                <c:formatCode>0</c:formatCode>
                <c:ptCount val="9"/>
                <c:pt idx="0">
                  <c:v>2056.5203700134903</c:v>
                </c:pt>
                <c:pt idx="1">
                  <c:v>2241.7191366351899</c:v>
                </c:pt>
                <c:pt idx="2">
                  <c:v>2567</c:v>
                </c:pt>
                <c:pt idx="3">
                  <c:v>3408</c:v>
                </c:pt>
                <c:pt idx="4">
                  <c:v>5962</c:v>
                </c:pt>
                <c:pt idx="5">
                  <c:v>7841</c:v>
                </c:pt>
                <c:pt idx="6">
                  <c:v>10145</c:v>
                </c:pt>
                <c:pt idx="7">
                  <c:v>11417.600256657042</c:v>
                </c:pt>
                <c:pt idx="8">
                  <c:v>12546.992300288741</c:v>
                </c:pt>
              </c:numCache>
            </c:numRef>
          </c:val>
          <c:smooth val="0"/>
        </c:ser>
        <c:ser>
          <c:idx val="7"/>
          <c:order val="7"/>
          <c:tx>
            <c:strRef>
              <c:f>'final-graphs'!$A$21</c:f>
              <c:strCache>
                <c:ptCount val="1"/>
                <c:pt idx="0">
                  <c:v>Eltham</c:v>
                </c:pt>
              </c:strCache>
            </c:strRef>
          </c:tx>
          <c:marker>
            <c:symbol val="none"/>
          </c:marker>
          <c:cat>
            <c:numRef>
              <c:f>'final-graphs'!$B$13:$J$13</c:f>
              <c:numCache>
                <c:formatCode>General</c:formatCode>
                <c:ptCount val="9"/>
                <c:pt idx="0">
                  <c:v>1926</c:v>
                </c:pt>
                <c:pt idx="1">
                  <c:v>1936</c:v>
                </c:pt>
                <c:pt idx="2">
                  <c:v>1946</c:v>
                </c:pt>
                <c:pt idx="3">
                  <c:v>1956</c:v>
                </c:pt>
                <c:pt idx="4">
                  <c:v>1966</c:v>
                </c:pt>
                <c:pt idx="5">
                  <c:v>1976</c:v>
                </c:pt>
                <c:pt idx="6">
                  <c:v>1986</c:v>
                </c:pt>
                <c:pt idx="7">
                  <c:v>1996</c:v>
                </c:pt>
                <c:pt idx="8">
                  <c:v>2006</c:v>
                </c:pt>
              </c:numCache>
            </c:numRef>
          </c:cat>
          <c:val>
            <c:numRef>
              <c:f>'final-graphs'!$B$21:$J$21</c:f>
              <c:numCache>
                <c:formatCode>0</c:formatCode>
                <c:ptCount val="9"/>
                <c:pt idx="0">
                  <c:v>2079.6082851352021</c:v>
                </c:pt>
                <c:pt idx="1">
                  <c:v>1937.7704285926147</c:v>
                </c:pt>
                <c:pt idx="2">
                  <c:v>1855</c:v>
                </c:pt>
                <c:pt idx="3">
                  <c:v>2192</c:v>
                </c:pt>
                <c:pt idx="4">
                  <c:v>2319</c:v>
                </c:pt>
                <c:pt idx="5">
                  <c:v>2334</c:v>
                </c:pt>
                <c:pt idx="6">
                  <c:v>2288</c:v>
                </c:pt>
                <c:pt idx="7">
                  <c:v>1850.9333333333332</c:v>
                </c:pt>
                <c:pt idx="8">
                  <c:v>1677.8666666666666</c:v>
                </c:pt>
              </c:numCache>
            </c:numRef>
          </c:val>
          <c:smooth val="0"/>
        </c:ser>
        <c:ser>
          <c:idx val="8"/>
          <c:order val="8"/>
          <c:tx>
            <c:strRef>
              <c:f>'final-graphs'!$A$22</c:f>
              <c:strCache>
                <c:ptCount val="1"/>
                <c:pt idx="0">
                  <c:v>Rangiora</c:v>
                </c:pt>
              </c:strCache>
            </c:strRef>
          </c:tx>
          <c:marker>
            <c:symbol val="none"/>
          </c:marker>
          <c:cat>
            <c:numRef>
              <c:f>'final-graphs'!$B$13:$J$13</c:f>
              <c:numCache>
                <c:formatCode>General</c:formatCode>
                <c:ptCount val="9"/>
                <c:pt idx="0">
                  <c:v>1926</c:v>
                </c:pt>
                <c:pt idx="1">
                  <c:v>1936</c:v>
                </c:pt>
                <c:pt idx="2">
                  <c:v>1946</c:v>
                </c:pt>
                <c:pt idx="3">
                  <c:v>1956</c:v>
                </c:pt>
                <c:pt idx="4">
                  <c:v>1966</c:v>
                </c:pt>
                <c:pt idx="5">
                  <c:v>1976</c:v>
                </c:pt>
                <c:pt idx="6">
                  <c:v>1986</c:v>
                </c:pt>
                <c:pt idx="7">
                  <c:v>1996</c:v>
                </c:pt>
                <c:pt idx="8">
                  <c:v>2006</c:v>
                </c:pt>
              </c:numCache>
            </c:numRef>
          </c:cat>
          <c:val>
            <c:numRef>
              <c:f>'final-graphs'!$B$22:$J$22</c:f>
              <c:numCache>
                <c:formatCode>0</c:formatCode>
                <c:ptCount val="9"/>
                <c:pt idx="0">
                  <c:v>2092.6525506451831</c:v>
                </c:pt>
                <c:pt idx="1">
                  <c:v>2246.1404894029552</c:v>
                </c:pt>
                <c:pt idx="2">
                  <c:v>2385</c:v>
                </c:pt>
                <c:pt idx="3">
                  <c:v>3150</c:v>
                </c:pt>
                <c:pt idx="4">
                  <c:v>4117</c:v>
                </c:pt>
                <c:pt idx="5">
                  <c:v>5991</c:v>
                </c:pt>
                <c:pt idx="6">
                  <c:v>6674</c:v>
                </c:pt>
                <c:pt idx="7">
                  <c:v>7797.5438596491222</c:v>
                </c:pt>
                <c:pt idx="8">
                  <c:v>9217.5438596491222</c:v>
                </c:pt>
              </c:numCache>
            </c:numRef>
          </c:val>
          <c:smooth val="0"/>
        </c:ser>
        <c:ser>
          <c:idx val="9"/>
          <c:order val="9"/>
          <c:tx>
            <c:strRef>
              <c:f>'final-graphs'!$A$23</c:f>
              <c:strCache>
                <c:ptCount val="1"/>
                <c:pt idx="0">
                  <c:v>Waimate</c:v>
                </c:pt>
              </c:strCache>
            </c:strRef>
          </c:tx>
          <c:marker>
            <c:symbol val="none"/>
          </c:marker>
          <c:cat>
            <c:numRef>
              <c:f>'final-graphs'!$B$13:$J$13</c:f>
              <c:numCache>
                <c:formatCode>General</c:formatCode>
                <c:ptCount val="9"/>
                <c:pt idx="0">
                  <c:v>1926</c:v>
                </c:pt>
                <c:pt idx="1">
                  <c:v>1936</c:v>
                </c:pt>
                <c:pt idx="2">
                  <c:v>1946</c:v>
                </c:pt>
                <c:pt idx="3">
                  <c:v>1956</c:v>
                </c:pt>
                <c:pt idx="4">
                  <c:v>1966</c:v>
                </c:pt>
                <c:pt idx="5">
                  <c:v>1976</c:v>
                </c:pt>
                <c:pt idx="6">
                  <c:v>1986</c:v>
                </c:pt>
                <c:pt idx="7">
                  <c:v>1996</c:v>
                </c:pt>
                <c:pt idx="8">
                  <c:v>2006</c:v>
                </c:pt>
              </c:numCache>
            </c:numRef>
          </c:cat>
          <c:val>
            <c:numRef>
              <c:f>'final-graphs'!$B$23:$J$23</c:f>
              <c:numCache>
                <c:formatCode>0</c:formatCode>
                <c:ptCount val="9"/>
                <c:pt idx="0">
                  <c:v>2206.0395523532115</c:v>
                </c:pt>
                <c:pt idx="1">
                  <c:v>2318.1940824773874</c:v>
                </c:pt>
                <c:pt idx="2">
                  <c:v>2351</c:v>
                </c:pt>
                <c:pt idx="3">
                  <c:v>3107</c:v>
                </c:pt>
                <c:pt idx="4">
                  <c:v>3300</c:v>
                </c:pt>
                <c:pt idx="5">
                  <c:v>3378</c:v>
                </c:pt>
                <c:pt idx="6">
                  <c:v>3250</c:v>
                </c:pt>
                <c:pt idx="7">
                  <c:v>2961.253701875617</c:v>
                </c:pt>
                <c:pt idx="8">
                  <c:v>2749.5064165844028</c:v>
                </c:pt>
              </c:numCache>
            </c:numRef>
          </c:val>
          <c:smooth val="0"/>
        </c:ser>
        <c:dLbls>
          <c:showLegendKey val="0"/>
          <c:showVal val="0"/>
          <c:showCatName val="0"/>
          <c:showSerName val="0"/>
          <c:showPercent val="0"/>
          <c:showBubbleSize val="0"/>
        </c:dLbls>
        <c:smooth val="0"/>
        <c:axId val="202599816"/>
        <c:axId val="202599032"/>
      </c:lineChart>
      <c:catAx>
        <c:axId val="202599816"/>
        <c:scaling>
          <c:orientation val="minMax"/>
        </c:scaling>
        <c:delete val="0"/>
        <c:axPos val="b"/>
        <c:numFmt formatCode="General" sourceLinked="1"/>
        <c:majorTickMark val="out"/>
        <c:minorTickMark val="none"/>
        <c:tickLblPos val="nextTo"/>
        <c:crossAx val="202599032"/>
        <c:crosses val="autoZero"/>
        <c:auto val="1"/>
        <c:lblAlgn val="ctr"/>
        <c:lblOffset val="100"/>
        <c:noMultiLvlLbl val="0"/>
      </c:catAx>
      <c:valAx>
        <c:axId val="202599032"/>
        <c:scaling>
          <c:orientation val="minMax"/>
        </c:scaling>
        <c:delete val="0"/>
        <c:axPos val="l"/>
        <c:majorGridlines/>
        <c:numFmt formatCode="0" sourceLinked="1"/>
        <c:majorTickMark val="out"/>
        <c:minorTickMark val="none"/>
        <c:tickLblPos val="nextTo"/>
        <c:crossAx val="202599816"/>
        <c:crosses val="autoZero"/>
        <c:crossBetween val="between"/>
      </c:valAx>
    </c:plotArea>
    <c:legend>
      <c:legendPos val="r"/>
      <c:layout/>
      <c:overlay val="0"/>
    </c:legend>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strRef>
              <c:f>'final-graphs'!$A$26</c:f>
              <c:strCache>
                <c:ptCount val="1"/>
                <c:pt idx="0">
                  <c:v>Wairoa</c:v>
                </c:pt>
              </c:strCache>
            </c:strRef>
          </c:tx>
          <c:marker>
            <c:symbol val="none"/>
          </c:marker>
          <c:cat>
            <c:numRef>
              <c:f>'final-graphs'!$B$25:$J$25</c:f>
              <c:numCache>
                <c:formatCode>General</c:formatCode>
                <c:ptCount val="9"/>
                <c:pt idx="0">
                  <c:v>1926</c:v>
                </c:pt>
                <c:pt idx="1">
                  <c:v>1936</c:v>
                </c:pt>
                <c:pt idx="2">
                  <c:v>1946</c:v>
                </c:pt>
                <c:pt idx="3">
                  <c:v>1956</c:v>
                </c:pt>
                <c:pt idx="4">
                  <c:v>1966</c:v>
                </c:pt>
                <c:pt idx="5">
                  <c:v>1976</c:v>
                </c:pt>
                <c:pt idx="6">
                  <c:v>1986</c:v>
                </c:pt>
                <c:pt idx="7">
                  <c:v>1996</c:v>
                </c:pt>
                <c:pt idx="8">
                  <c:v>2006</c:v>
                </c:pt>
              </c:numCache>
            </c:numRef>
          </c:cat>
          <c:val>
            <c:numRef>
              <c:f>'final-graphs'!$B$26:$J$26</c:f>
              <c:numCache>
                <c:formatCode>0</c:formatCode>
                <c:ptCount val="9"/>
                <c:pt idx="0">
                  <c:v>2285.4765067345293</c:v>
                </c:pt>
                <c:pt idx="1">
                  <c:v>2660.7669294270995</c:v>
                </c:pt>
                <c:pt idx="2">
                  <c:v>2857</c:v>
                </c:pt>
                <c:pt idx="3">
                  <c:v>3796</c:v>
                </c:pt>
                <c:pt idx="4">
                  <c:v>5100</c:v>
                </c:pt>
                <c:pt idx="5">
                  <c:v>5466</c:v>
                </c:pt>
                <c:pt idx="6">
                  <c:v>5094</c:v>
                </c:pt>
                <c:pt idx="7">
                  <c:v>4758.1318681318689</c:v>
                </c:pt>
                <c:pt idx="8">
                  <c:v>3940.2307692307695</c:v>
                </c:pt>
              </c:numCache>
            </c:numRef>
          </c:val>
          <c:smooth val="0"/>
        </c:ser>
        <c:ser>
          <c:idx val="1"/>
          <c:order val="1"/>
          <c:tx>
            <c:strRef>
              <c:f>'final-graphs'!$A$27</c:f>
              <c:strCache>
                <c:ptCount val="1"/>
                <c:pt idx="0">
                  <c:v>Te Aroha</c:v>
                </c:pt>
              </c:strCache>
            </c:strRef>
          </c:tx>
          <c:marker>
            <c:symbol val="none"/>
          </c:marker>
          <c:cat>
            <c:numRef>
              <c:f>'final-graphs'!$B$25:$J$25</c:f>
              <c:numCache>
                <c:formatCode>General</c:formatCode>
                <c:ptCount val="9"/>
                <c:pt idx="0">
                  <c:v>1926</c:v>
                </c:pt>
                <c:pt idx="1">
                  <c:v>1936</c:v>
                </c:pt>
                <c:pt idx="2">
                  <c:v>1946</c:v>
                </c:pt>
                <c:pt idx="3">
                  <c:v>1956</c:v>
                </c:pt>
                <c:pt idx="4">
                  <c:v>1966</c:v>
                </c:pt>
                <c:pt idx="5">
                  <c:v>1976</c:v>
                </c:pt>
                <c:pt idx="6">
                  <c:v>1986</c:v>
                </c:pt>
                <c:pt idx="7">
                  <c:v>1996</c:v>
                </c:pt>
                <c:pt idx="8">
                  <c:v>2006</c:v>
                </c:pt>
              </c:numCache>
            </c:numRef>
          </c:cat>
          <c:val>
            <c:numRef>
              <c:f>'final-graphs'!$B$27:$J$27</c:f>
              <c:numCache>
                <c:formatCode>0</c:formatCode>
                <c:ptCount val="9"/>
                <c:pt idx="0">
                  <c:v>2313.9670071304686</c:v>
                </c:pt>
                <c:pt idx="1">
                  <c:v>2407.583966082097</c:v>
                </c:pt>
                <c:pt idx="2">
                  <c:v>2426</c:v>
                </c:pt>
                <c:pt idx="3">
                  <c:v>2854</c:v>
                </c:pt>
                <c:pt idx="4">
                  <c:v>3212</c:v>
                </c:pt>
                <c:pt idx="5">
                  <c:v>3202</c:v>
                </c:pt>
                <c:pt idx="6">
                  <c:v>3510</c:v>
                </c:pt>
                <c:pt idx="7">
                  <c:v>3471.8478260869565</c:v>
                </c:pt>
                <c:pt idx="8">
                  <c:v>3372.0652173913045</c:v>
                </c:pt>
              </c:numCache>
            </c:numRef>
          </c:val>
          <c:smooth val="0"/>
        </c:ser>
        <c:ser>
          <c:idx val="2"/>
          <c:order val="2"/>
          <c:tx>
            <c:strRef>
              <c:f>'final-graphs'!$A$28</c:f>
              <c:strCache>
                <c:ptCount val="1"/>
                <c:pt idx="0">
                  <c:v>Taumaranui</c:v>
                </c:pt>
              </c:strCache>
            </c:strRef>
          </c:tx>
          <c:marker>
            <c:symbol val="none"/>
          </c:marker>
          <c:cat>
            <c:numRef>
              <c:f>'final-graphs'!$B$25:$J$25</c:f>
              <c:numCache>
                <c:formatCode>General</c:formatCode>
                <c:ptCount val="9"/>
                <c:pt idx="0">
                  <c:v>1926</c:v>
                </c:pt>
                <c:pt idx="1">
                  <c:v>1936</c:v>
                </c:pt>
                <c:pt idx="2">
                  <c:v>1946</c:v>
                </c:pt>
                <c:pt idx="3">
                  <c:v>1956</c:v>
                </c:pt>
                <c:pt idx="4">
                  <c:v>1966</c:v>
                </c:pt>
                <c:pt idx="5">
                  <c:v>1976</c:v>
                </c:pt>
                <c:pt idx="6">
                  <c:v>1986</c:v>
                </c:pt>
                <c:pt idx="7">
                  <c:v>1996</c:v>
                </c:pt>
                <c:pt idx="8">
                  <c:v>2006</c:v>
                </c:pt>
              </c:numCache>
            </c:numRef>
          </c:cat>
          <c:val>
            <c:numRef>
              <c:f>'final-graphs'!$B$28:$J$28</c:f>
              <c:numCache>
                <c:formatCode>0</c:formatCode>
                <c:ptCount val="9"/>
                <c:pt idx="0">
                  <c:v>2333.6919274309162</c:v>
                </c:pt>
                <c:pt idx="1">
                  <c:v>2693.8988580750411</c:v>
                </c:pt>
                <c:pt idx="2">
                  <c:v>2706</c:v>
                </c:pt>
                <c:pt idx="3">
                  <c:v>3344</c:v>
                </c:pt>
                <c:pt idx="4">
                  <c:v>5864</c:v>
                </c:pt>
                <c:pt idx="5">
                  <c:v>6479</c:v>
                </c:pt>
                <c:pt idx="6">
                  <c:v>6387</c:v>
                </c:pt>
                <c:pt idx="7">
                  <c:v>5613.1053412462907</c:v>
                </c:pt>
                <c:pt idx="8">
                  <c:v>4573.8753709198809</c:v>
                </c:pt>
              </c:numCache>
            </c:numRef>
          </c:val>
          <c:smooth val="0"/>
        </c:ser>
        <c:ser>
          <c:idx val="3"/>
          <c:order val="3"/>
          <c:tx>
            <c:strRef>
              <c:f>'final-graphs'!$A$29</c:f>
              <c:strCache>
                <c:ptCount val="1"/>
                <c:pt idx="0">
                  <c:v>Te Kuiti</c:v>
                </c:pt>
              </c:strCache>
            </c:strRef>
          </c:tx>
          <c:marker>
            <c:symbol val="none"/>
          </c:marker>
          <c:cat>
            <c:numRef>
              <c:f>'final-graphs'!$B$25:$J$25</c:f>
              <c:numCache>
                <c:formatCode>General</c:formatCode>
                <c:ptCount val="9"/>
                <c:pt idx="0">
                  <c:v>1926</c:v>
                </c:pt>
                <c:pt idx="1">
                  <c:v>1936</c:v>
                </c:pt>
                <c:pt idx="2">
                  <c:v>1946</c:v>
                </c:pt>
                <c:pt idx="3">
                  <c:v>1956</c:v>
                </c:pt>
                <c:pt idx="4">
                  <c:v>1966</c:v>
                </c:pt>
                <c:pt idx="5">
                  <c:v>1976</c:v>
                </c:pt>
                <c:pt idx="6">
                  <c:v>1986</c:v>
                </c:pt>
                <c:pt idx="7">
                  <c:v>1996</c:v>
                </c:pt>
                <c:pt idx="8">
                  <c:v>2006</c:v>
                </c:pt>
              </c:numCache>
            </c:numRef>
          </c:cat>
          <c:val>
            <c:numRef>
              <c:f>'final-graphs'!$B$29:$J$29</c:f>
              <c:numCache>
                <c:formatCode>0</c:formatCode>
                <c:ptCount val="9"/>
                <c:pt idx="0">
                  <c:v>2362.8106378878397</c:v>
                </c:pt>
                <c:pt idx="1">
                  <c:v>2542.9215263056467</c:v>
                </c:pt>
                <c:pt idx="2">
                  <c:v>2720</c:v>
                </c:pt>
                <c:pt idx="3">
                  <c:v>3781</c:v>
                </c:pt>
                <c:pt idx="4">
                  <c:v>4825</c:v>
                </c:pt>
                <c:pt idx="5">
                  <c:v>4840</c:v>
                </c:pt>
                <c:pt idx="6">
                  <c:v>4521</c:v>
                </c:pt>
                <c:pt idx="7">
                  <c:v>4299</c:v>
                </c:pt>
                <c:pt idx="8">
                  <c:v>3885</c:v>
                </c:pt>
              </c:numCache>
            </c:numRef>
          </c:val>
          <c:smooth val="0"/>
        </c:ser>
        <c:ser>
          <c:idx val="4"/>
          <c:order val="4"/>
          <c:tx>
            <c:strRef>
              <c:f>'final-graphs'!$A$30</c:f>
              <c:strCache>
                <c:ptCount val="1"/>
                <c:pt idx="0">
                  <c:v>Hokitika</c:v>
                </c:pt>
              </c:strCache>
            </c:strRef>
          </c:tx>
          <c:marker>
            <c:symbol val="none"/>
          </c:marker>
          <c:cat>
            <c:numRef>
              <c:f>'final-graphs'!$B$25:$J$25</c:f>
              <c:numCache>
                <c:formatCode>General</c:formatCode>
                <c:ptCount val="9"/>
                <c:pt idx="0">
                  <c:v>1926</c:v>
                </c:pt>
                <c:pt idx="1">
                  <c:v>1936</c:v>
                </c:pt>
                <c:pt idx="2">
                  <c:v>1946</c:v>
                </c:pt>
                <c:pt idx="3">
                  <c:v>1956</c:v>
                </c:pt>
                <c:pt idx="4">
                  <c:v>1966</c:v>
                </c:pt>
                <c:pt idx="5">
                  <c:v>1976</c:v>
                </c:pt>
                <c:pt idx="6">
                  <c:v>1986</c:v>
                </c:pt>
                <c:pt idx="7">
                  <c:v>1996</c:v>
                </c:pt>
                <c:pt idx="8">
                  <c:v>2006</c:v>
                </c:pt>
              </c:numCache>
            </c:numRef>
          </c:cat>
          <c:val>
            <c:numRef>
              <c:f>'final-graphs'!$B$30:$J$30</c:f>
              <c:numCache>
                <c:formatCode>0</c:formatCode>
                <c:ptCount val="9"/>
                <c:pt idx="0">
                  <c:v>2402.6240975550568</c:v>
                </c:pt>
                <c:pt idx="1">
                  <c:v>2704.3349511618035</c:v>
                </c:pt>
                <c:pt idx="2">
                  <c:v>2742</c:v>
                </c:pt>
                <c:pt idx="3">
                  <c:v>3032</c:v>
                </c:pt>
                <c:pt idx="4">
                  <c:v>3258</c:v>
                </c:pt>
                <c:pt idx="5">
                  <c:v>3530</c:v>
                </c:pt>
                <c:pt idx="6">
                  <c:v>3427</c:v>
                </c:pt>
                <c:pt idx="7">
                  <c:v>3321.4221482098251</c:v>
                </c:pt>
                <c:pt idx="8">
                  <c:v>3070.3180682764364</c:v>
                </c:pt>
              </c:numCache>
            </c:numRef>
          </c:val>
          <c:smooth val="0"/>
        </c:ser>
        <c:ser>
          <c:idx val="5"/>
          <c:order val="5"/>
          <c:tx>
            <c:strRef>
              <c:f>'final-graphs'!$A$31</c:f>
              <c:strCache>
                <c:ptCount val="1"/>
                <c:pt idx="0">
                  <c:v>Tauranga</c:v>
                </c:pt>
              </c:strCache>
            </c:strRef>
          </c:tx>
          <c:marker>
            <c:symbol val="none"/>
          </c:marker>
          <c:cat>
            <c:numRef>
              <c:f>'final-graphs'!$B$25:$J$25</c:f>
              <c:numCache>
                <c:formatCode>General</c:formatCode>
                <c:ptCount val="9"/>
                <c:pt idx="0">
                  <c:v>1926</c:v>
                </c:pt>
                <c:pt idx="1">
                  <c:v>1936</c:v>
                </c:pt>
                <c:pt idx="2">
                  <c:v>1946</c:v>
                </c:pt>
                <c:pt idx="3">
                  <c:v>1956</c:v>
                </c:pt>
                <c:pt idx="4">
                  <c:v>1966</c:v>
                </c:pt>
                <c:pt idx="5">
                  <c:v>1976</c:v>
                </c:pt>
                <c:pt idx="6">
                  <c:v>1986</c:v>
                </c:pt>
                <c:pt idx="7">
                  <c:v>1996</c:v>
                </c:pt>
                <c:pt idx="8">
                  <c:v>2006</c:v>
                </c:pt>
              </c:numCache>
            </c:numRef>
          </c:cat>
          <c:val>
            <c:numRef>
              <c:f>'final-graphs'!$B$31:$J$31</c:f>
              <c:numCache>
                <c:formatCode>0</c:formatCode>
                <c:ptCount val="9"/>
                <c:pt idx="0">
                  <c:v>2684.5126354238005</c:v>
                </c:pt>
                <c:pt idx="1">
                  <c:v>3616.7240637153586</c:v>
                </c:pt>
                <c:pt idx="2">
                  <c:v>4944.686464204593</c:v>
                </c:pt>
                <c:pt idx="3">
                  <c:v>10044.681416673677</c:v>
                </c:pt>
                <c:pt idx="4">
                  <c:v>33166.757297888449</c:v>
                </c:pt>
                <c:pt idx="5">
                  <c:v>50530.875914864977</c:v>
                </c:pt>
                <c:pt idx="6">
                  <c:v>62370</c:v>
                </c:pt>
                <c:pt idx="7">
                  <c:v>82832</c:v>
                </c:pt>
                <c:pt idx="8">
                  <c:v>108882</c:v>
                </c:pt>
              </c:numCache>
            </c:numRef>
          </c:val>
          <c:smooth val="0"/>
        </c:ser>
        <c:ser>
          <c:idx val="6"/>
          <c:order val="6"/>
          <c:tx>
            <c:strRef>
              <c:f>'final-graphs'!$A$32</c:f>
              <c:strCache>
                <c:ptCount val="1"/>
                <c:pt idx="0">
                  <c:v>Marton</c:v>
                </c:pt>
              </c:strCache>
            </c:strRef>
          </c:tx>
          <c:marker>
            <c:symbol val="none"/>
          </c:marker>
          <c:cat>
            <c:numRef>
              <c:f>'final-graphs'!$B$25:$J$25</c:f>
              <c:numCache>
                <c:formatCode>General</c:formatCode>
                <c:ptCount val="9"/>
                <c:pt idx="0">
                  <c:v>1926</c:v>
                </c:pt>
                <c:pt idx="1">
                  <c:v>1936</c:v>
                </c:pt>
                <c:pt idx="2">
                  <c:v>1946</c:v>
                </c:pt>
                <c:pt idx="3">
                  <c:v>1956</c:v>
                </c:pt>
                <c:pt idx="4">
                  <c:v>1966</c:v>
                </c:pt>
                <c:pt idx="5">
                  <c:v>1976</c:v>
                </c:pt>
                <c:pt idx="6">
                  <c:v>1986</c:v>
                </c:pt>
                <c:pt idx="7">
                  <c:v>1996</c:v>
                </c:pt>
                <c:pt idx="8">
                  <c:v>2006</c:v>
                </c:pt>
              </c:numCache>
            </c:numRef>
          </c:cat>
          <c:val>
            <c:numRef>
              <c:f>'final-graphs'!$B$32:$J$32</c:f>
              <c:numCache>
                <c:formatCode>0</c:formatCode>
                <c:ptCount val="9"/>
                <c:pt idx="0">
                  <c:v>2783.0954321418872</c:v>
                </c:pt>
                <c:pt idx="1">
                  <c:v>2810.8236892148875</c:v>
                </c:pt>
                <c:pt idx="2">
                  <c:v>2915</c:v>
                </c:pt>
                <c:pt idx="3">
                  <c:v>4001</c:v>
                </c:pt>
                <c:pt idx="4">
                  <c:v>4731</c:v>
                </c:pt>
                <c:pt idx="5">
                  <c:v>4910</c:v>
                </c:pt>
                <c:pt idx="6">
                  <c:v>5059</c:v>
                </c:pt>
                <c:pt idx="7">
                  <c:v>4847.0890855457228</c:v>
                </c:pt>
                <c:pt idx="8">
                  <c:v>4226.2796460176987</c:v>
                </c:pt>
              </c:numCache>
            </c:numRef>
          </c:val>
          <c:smooth val="0"/>
        </c:ser>
        <c:ser>
          <c:idx val="7"/>
          <c:order val="7"/>
          <c:tx>
            <c:strRef>
              <c:f>'final-graphs'!$A$33</c:f>
              <c:strCache>
                <c:ptCount val="1"/>
                <c:pt idx="0">
                  <c:v>Levin</c:v>
                </c:pt>
              </c:strCache>
            </c:strRef>
          </c:tx>
          <c:marker>
            <c:symbol val="none"/>
          </c:marker>
          <c:cat>
            <c:numRef>
              <c:f>'final-graphs'!$B$25:$J$25</c:f>
              <c:numCache>
                <c:formatCode>General</c:formatCode>
                <c:ptCount val="9"/>
                <c:pt idx="0">
                  <c:v>1926</c:v>
                </c:pt>
                <c:pt idx="1">
                  <c:v>1936</c:v>
                </c:pt>
                <c:pt idx="2">
                  <c:v>1946</c:v>
                </c:pt>
                <c:pt idx="3">
                  <c:v>1956</c:v>
                </c:pt>
                <c:pt idx="4">
                  <c:v>1966</c:v>
                </c:pt>
                <c:pt idx="5">
                  <c:v>1976</c:v>
                </c:pt>
                <c:pt idx="6">
                  <c:v>1986</c:v>
                </c:pt>
                <c:pt idx="7">
                  <c:v>1996</c:v>
                </c:pt>
                <c:pt idx="8">
                  <c:v>2006</c:v>
                </c:pt>
              </c:numCache>
            </c:numRef>
          </c:cat>
          <c:val>
            <c:numRef>
              <c:f>'final-graphs'!$B$33:$J$33</c:f>
              <c:numCache>
                <c:formatCode>0</c:formatCode>
                <c:ptCount val="9"/>
                <c:pt idx="0">
                  <c:v>2936.2216366182956</c:v>
                </c:pt>
                <c:pt idx="1">
                  <c:v>3304.1816723672437</c:v>
                </c:pt>
                <c:pt idx="2">
                  <c:v>4021.1581207704321</c:v>
                </c:pt>
                <c:pt idx="3">
                  <c:v>8005.3003643935454</c:v>
                </c:pt>
                <c:pt idx="4">
                  <c:v>14068.501041124415</c:v>
                </c:pt>
                <c:pt idx="5">
                  <c:v>18210.577693909421</c:v>
                </c:pt>
                <c:pt idx="6">
                  <c:v>18962</c:v>
                </c:pt>
                <c:pt idx="7">
                  <c:v>19357.533623910338</c:v>
                </c:pt>
                <c:pt idx="8">
                  <c:v>19171.573785803237</c:v>
                </c:pt>
              </c:numCache>
            </c:numRef>
          </c:val>
          <c:smooth val="0"/>
        </c:ser>
        <c:ser>
          <c:idx val="8"/>
          <c:order val="8"/>
          <c:tx>
            <c:strRef>
              <c:f>'final-graphs'!$A$34</c:f>
              <c:strCache>
                <c:ptCount val="1"/>
                <c:pt idx="0">
                  <c:v>Stratford</c:v>
                </c:pt>
              </c:strCache>
            </c:strRef>
          </c:tx>
          <c:marker>
            <c:symbol val="none"/>
          </c:marker>
          <c:cat>
            <c:numRef>
              <c:f>'final-graphs'!$B$25:$J$25</c:f>
              <c:numCache>
                <c:formatCode>General</c:formatCode>
                <c:ptCount val="9"/>
                <c:pt idx="0">
                  <c:v>1926</c:v>
                </c:pt>
                <c:pt idx="1">
                  <c:v>1936</c:v>
                </c:pt>
                <c:pt idx="2">
                  <c:v>1946</c:v>
                </c:pt>
                <c:pt idx="3">
                  <c:v>1956</c:v>
                </c:pt>
                <c:pt idx="4">
                  <c:v>1966</c:v>
                </c:pt>
                <c:pt idx="5">
                  <c:v>1976</c:v>
                </c:pt>
                <c:pt idx="6">
                  <c:v>1986</c:v>
                </c:pt>
                <c:pt idx="7">
                  <c:v>1996</c:v>
                </c:pt>
                <c:pt idx="8">
                  <c:v>2006</c:v>
                </c:pt>
              </c:numCache>
            </c:numRef>
          </c:cat>
          <c:val>
            <c:numRef>
              <c:f>'final-graphs'!$B$34:$J$34</c:f>
              <c:numCache>
                <c:formatCode>0</c:formatCode>
                <c:ptCount val="9"/>
                <c:pt idx="0">
                  <c:v>3400.0268920856197</c:v>
                </c:pt>
                <c:pt idx="1">
                  <c:v>3831.6629591180981</c:v>
                </c:pt>
                <c:pt idx="2">
                  <c:v>3854</c:v>
                </c:pt>
                <c:pt idx="3">
                  <c:v>4811</c:v>
                </c:pt>
                <c:pt idx="4">
                  <c:v>5441</c:v>
                </c:pt>
                <c:pt idx="5">
                  <c:v>5444</c:v>
                </c:pt>
                <c:pt idx="6">
                  <c:v>5528</c:v>
                </c:pt>
                <c:pt idx="7">
                  <c:v>5318.9961643835613</c:v>
                </c:pt>
                <c:pt idx="8">
                  <c:v>4864.6399999999994</c:v>
                </c:pt>
              </c:numCache>
            </c:numRef>
          </c:val>
          <c:smooth val="0"/>
        </c:ser>
        <c:ser>
          <c:idx val="9"/>
          <c:order val="9"/>
          <c:tx>
            <c:strRef>
              <c:f>'final-graphs'!$A$35</c:f>
              <c:strCache>
                <c:ptCount val="1"/>
                <c:pt idx="0">
                  <c:v>Pukekohe</c:v>
                </c:pt>
              </c:strCache>
            </c:strRef>
          </c:tx>
          <c:marker>
            <c:symbol val="none"/>
          </c:marker>
          <c:cat>
            <c:numRef>
              <c:f>'final-graphs'!$B$25:$J$25</c:f>
              <c:numCache>
                <c:formatCode>General</c:formatCode>
                <c:ptCount val="9"/>
                <c:pt idx="0">
                  <c:v>1926</c:v>
                </c:pt>
                <c:pt idx="1">
                  <c:v>1936</c:v>
                </c:pt>
                <c:pt idx="2">
                  <c:v>1946</c:v>
                </c:pt>
                <c:pt idx="3">
                  <c:v>1956</c:v>
                </c:pt>
                <c:pt idx="4">
                  <c:v>1966</c:v>
                </c:pt>
                <c:pt idx="5">
                  <c:v>1976</c:v>
                </c:pt>
                <c:pt idx="6">
                  <c:v>1986</c:v>
                </c:pt>
                <c:pt idx="7">
                  <c:v>1996</c:v>
                </c:pt>
                <c:pt idx="8">
                  <c:v>2006</c:v>
                </c:pt>
              </c:numCache>
            </c:numRef>
          </c:cat>
          <c:val>
            <c:numRef>
              <c:f>'final-graphs'!$B$35:$J$35</c:f>
              <c:numCache>
                <c:formatCode>0</c:formatCode>
                <c:ptCount val="9"/>
                <c:pt idx="0">
                  <c:v>3457.6072768868512</c:v>
                </c:pt>
                <c:pt idx="1">
                  <c:v>3800.8201361877136</c:v>
                </c:pt>
                <c:pt idx="2">
                  <c:v>4867.0256437539902</c:v>
                </c:pt>
                <c:pt idx="3">
                  <c:v>6896.7915513939133</c:v>
                </c:pt>
                <c:pt idx="4">
                  <c:v>9629.6213024047665</c:v>
                </c:pt>
                <c:pt idx="5">
                  <c:v>12899.309427537773</c:v>
                </c:pt>
                <c:pt idx="6">
                  <c:v>13823</c:v>
                </c:pt>
                <c:pt idx="7">
                  <c:v>16267.19514429684</c:v>
                </c:pt>
                <c:pt idx="8">
                  <c:v>22518</c:v>
                </c:pt>
              </c:numCache>
            </c:numRef>
          </c:val>
          <c:smooth val="0"/>
        </c:ser>
        <c:dLbls>
          <c:showLegendKey val="0"/>
          <c:showVal val="0"/>
          <c:showCatName val="0"/>
          <c:showSerName val="0"/>
          <c:showPercent val="0"/>
          <c:showBubbleSize val="0"/>
        </c:dLbls>
        <c:smooth val="0"/>
        <c:axId val="202598248"/>
        <c:axId val="202597856"/>
      </c:lineChart>
      <c:catAx>
        <c:axId val="202598248"/>
        <c:scaling>
          <c:orientation val="minMax"/>
        </c:scaling>
        <c:delete val="0"/>
        <c:axPos val="b"/>
        <c:numFmt formatCode="General" sourceLinked="1"/>
        <c:majorTickMark val="out"/>
        <c:minorTickMark val="none"/>
        <c:tickLblPos val="nextTo"/>
        <c:crossAx val="202597856"/>
        <c:crosses val="autoZero"/>
        <c:auto val="1"/>
        <c:lblAlgn val="ctr"/>
        <c:lblOffset val="100"/>
        <c:noMultiLvlLbl val="0"/>
      </c:catAx>
      <c:valAx>
        <c:axId val="202597856"/>
        <c:scaling>
          <c:orientation val="minMax"/>
        </c:scaling>
        <c:delete val="0"/>
        <c:axPos val="l"/>
        <c:majorGridlines/>
        <c:numFmt formatCode="0" sourceLinked="1"/>
        <c:majorTickMark val="out"/>
        <c:minorTickMark val="none"/>
        <c:tickLblPos val="nextTo"/>
        <c:crossAx val="202598248"/>
        <c:crosses val="autoZero"/>
        <c:crossBetween val="between"/>
      </c:valAx>
    </c:plotArea>
    <c:legend>
      <c:legendPos val="r"/>
      <c:layout/>
      <c:overlay val="0"/>
    </c:legend>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strRef>
              <c:f>'final-graphs'!$A$38</c:f>
              <c:strCache>
                <c:ptCount val="1"/>
                <c:pt idx="0">
                  <c:v>Waihi</c:v>
                </c:pt>
              </c:strCache>
            </c:strRef>
          </c:tx>
          <c:marker>
            <c:symbol val="none"/>
          </c:marker>
          <c:cat>
            <c:numRef>
              <c:f>'final-graphs'!$B$37:$J$37</c:f>
              <c:numCache>
                <c:formatCode>General</c:formatCode>
                <c:ptCount val="9"/>
                <c:pt idx="0">
                  <c:v>1926</c:v>
                </c:pt>
                <c:pt idx="1">
                  <c:v>1936</c:v>
                </c:pt>
                <c:pt idx="2">
                  <c:v>1946</c:v>
                </c:pt>
                <c:pt idx="3">
                  <c:v>1956</c:v>
                </c:pt>
                <c:pt idx="4">
                  <c:v>1966</c:v>
                </c:pt>
                <c:pt idx="5">
                  <c:v>1976</c:v>
                </c:pt>
                <c:pt idx="6">
                  <c:v>1986</c:v>
                </c:pt>
                <c:pt idx="7">
                  <c:v>1996</c:v>
                </c:pt>
                <c:pt idx="8">
                  <c:v>2006</c:v>
                </c:pt>
              </c:numCache>
            </c:numRef>
          </c:cat>
          <c:val>
            <c:numRef>
              <c:f>'final-graphs'!$B$38:$J$38</c:f>
              <c:numCache>
                <c:formatCode>0</c:formatCode>
                <c:ptCount val="9"/>
                <c:pt idx="0">
                  <c:v>3782.3286567739451</c:v>
                </c:pt>
                <c:pt idx="1">
                  <c:v>3984.8262092888804</c:v>
                </c:pt>
                <c:pt idx="2">
                  <c:v>3756</c:v>
                </c:pt>
                <c:pt idx="3">
                  <c:v>3075</c:v>
                </c:pt>
                <c:pt idx="4">
                  <c:v>3169</c:v>
                </c:pt>
                <c:pt idx="5">
                  <c:v>3415</c:v>
                </c:pt>
                <c:pt idx="6">
                  <c:v>3679</c:v>
                </c:pt>
                <c:pt idx="7">
                  <c:v>4177.7025561580167</c:v>
                </c:pt>
                <c:pt idx="8">
                  <c:v>3895.5793958171957</c:v>
                </c:pt>
              </c:numCache>
            </c:numRef>
          </c:val>
          <c:smooth val="0"/>
        </c:ser>
        <c:ser>
          <c:idx val="1"/>
          <c:order val="1"/>
          <c:tx>
            <c:strRef>
              <c:f>'final-graphs'!$A$39</c:f>
              <c:strCache>
                <c:ptCount val="1"/>
                <c:pt idx="0">
                  <c:v>Westport</c:v>
                </c:pt>
              </c:strCache>
            </c:strRef>
          </c:tx>
          <c:marker>
            <c:symbol val="none"/>
          </c:marker>
          <c:cat>
            <c:numRef>
              <c:f>'final-graphs'!$B$37:$J$37</c:f>
              <c:numCache>
                <c:formatCode>General</c:formatCode>
                <c:ptCount val="9"/>
                <c:pt idx="0">
                  <c:v>1926</c:v>
                </c:pt>
                <c:pt idx="1">
                  <c:v>1936</c:v>
                </c:pt>
                <c:pt idx="2">
                  <c:v>1946</c:v>
                </c:pt>
                <c:pt idx="3">
                  <c:v>1956</c:v>
                </c:pt>
                <c:pt idx="4">
                  <c:v>1966</c:v>
                </c:pt>
                <c:pt idx="5">
                  <c:v>1976</c:v>
                </c:pt>
                <c:pt idx="6">
                  <c:v>1986</c:v>
                </c:pt>
                <c:pt idx="7">
                  <c:v>1996</c:v>
                </c:pt>
                <c:pt idx="8">
                  <c:v>2006</c:v>
                </c:pt>
              </c:numCache>
            </c:numRef>
          </c:cat>
          <c:val>
            <c:numRef>
              <c:f>'final-graphs'!$B$39:$J$39</c:f>
              <c:numCache>
                <c:formatCode>0</c:formatCode>
                <c:ptCount val="9"/>
                <c:pt idx="0">
                  <c:v>3888.0472001456046</c:v>
                </c:pt>
                <c:pt idx="1">
                  <c:v>4265.1857671540374</c:v>
                </c:pt>
                <c:pt idx="2">
                  <c:v>4686</c:v>
                </c:pt>
                <c:pt idx="3">
                  <c:v>5522</c:v>
                </c:pt>
                <c:pt idx="4">
                  <c:v>5271</c:v>
                </c:pt>
                <c:pt idx="5">
                  <c:v>4988</c:v>
                </c:pt>
                <c:pt idx="6">
                  <c:v>4660</c:v>
                </c:pt>
                <c:pt idx="7">
                  <c:v>4440.6740267286459</c:v>
                </c:pt>
                <c:pt idx="8">
                  <c:v>4053.4689134224286</c:v>
                </c:pt>
              </c:numCache>
            </c:numRef>
          </c:val>
          <c:smooth val="0"/>
        </c:ser>
        <c:ser>
          <c:idx val="2"/>
          <c:order val="2"/>
          <c:tx>
            <c:strRef>
              <c:f>'final-graphs'!$A$40</c:f>
              <c:strCache>
                <c:ptCount val="1"/>
                <c:pt idx="0">
                  <c:v>Rotorua</c:v>
                </c:pt>
              </c:strCache>
            </c:strRef>
          </c:tx>
          <c:marker>
            <c:symbol val="none"/>
          </c:marker>
          <c:cat>
            <c:numRef>
              <c:f>'final-graphs'!$B$37:$J$37</c:f>
              <c:numCache>
                <c:formatCode>General</c:formatCode>
                <c:ptCount val="9"/>
                <c:pt idx="0">
                  <c:v>1926</c:v>
                </c:pt>
                <c:pt idx="1">
                  <c:v>1936</c:v>
                </c:pt>
                <c:pt idx="2">
                  <c:v>1946</c:v>
                </c:pt>
                <c:pt idx="3">
                  <c:v>1956</c:v>
                </c:pt>
                <c:pt idx="4">
                  <c:v>1966</c:v>
                </c:pt>
                <c:pt idx="5">
                  <c:v>1976</c:v>
                </c:pt>
                <c:pt idx="6">
                  <c:v>1986</c:v>
                </c:pt>
                <c:pt idx="7">
                  <c:v>1996</c:v>
                </c:pt>
                <c:pt idx="8">
                  <c:v>2006</c:v>
                </c:pt>
              </c:numCache>
            </c:numRef>
          </c:cat>
          <c:val>
            <c:numRef>
              <c:f>'final-graphs'!$B$40:$J$40</c:f>
              <c:numCache>
                <c:formatCode>0</c:formatCode>
                <c:ptCount val="9"/>
                <c:pt idx="0">
                  <c:v>4211.7455771825016</c:v>
                </c:pt>
                <c:pt idx="1">
                  <c:v>6645.7865099248411</c:v>
                </c:pt>
                <c:pt idx="2">
                  <c:v>7512</c:v>
                </c:pt>
                <c:pt idx="3">
                  <c:v>12302</c:v>
                </c:pt>
                <c:pt idx="4">
                  <c:v>33229</c:v>
                </c:pt>
                <c:pt idx="5">
                  <c:v>46650</c:v>
                </c:pt>
                <c:pt idx="6">
                  <c:v>48855</c:v>
                </c:pt>
                <c:pt idx="7">
                  <c:v>52956</c:v>
                </c:pt>
                <c:pt idx="8">
                  <c:v>53766</c:v>
                </c:pt>
              </c:numCache>
            </c:numRef>
          </c:val>
          <c:smooth val="0"/>
        </c:ser>
        <c:ser>
          <c:idx val="3"/>
          <c:order val="3"/>
          <c:tx>
            <c:strRef>
              <c:f>'final-graphs'!$A$41</c:f>
              <c:strCache>
                <c:ptCount val="1"/>
                <c:pt idx="0">
                  <c:v>Dannevirke</c:v>
                </c:pt>
              </c:strCache>
            </c:strRef>
          </c:tx>
          <c:marker>
            <c:symbol val="none"/>
          </c:marker>
          <c:cat>
            <c:numRef>
              <c:f>'final-graphs'!$B$37:$J$37</c:f>
              <c:numCache>
                <c:formatCode>General</c:formatCode>
                <c:ptCount val="9"/>
                <c:pt idx="0">
                  <c:v>1926</c:v>
                </c:pt>
                <c:pt idx="1">
                  <c:v>1936</c:v>
                </c:pt>
                <c:pt idx="2">
                  <c:v>1946</c:v>
                </c:pt>
                <c:pt idx="3">
                  <c:v>1956</c:v>
                </c:pt>
                <c:pt idx="4">
                  <c:v>1966</c:v>
                </c:pt>
                <c:pt idx="5">
                  <c:v>1976</c:v>
                </c:pt>
                <c:pt idx="6">
                  <c:v>1986</c:v>
                </c:pt>
                <c:pt idx="7">
                  <c:v>1996</c:v>
                </c:pt>
                <c:pt idx="8">
                  <c:v>2006</c:v>
                </c:pt>
              </c:numCache>
            </c:numRef>
          </c:cat>
          <c:val>
            <c:numRef>
              <c:f>'final-graphs'!$B$41:$J$41</c:f>
              <c:numCache>
                <c:formatCode>0</c:formatCode>
                <c:ptCount val="9"/>
                <c:pt idx="0">
                  <c:v>4275.8014100623832</c:v>
                </c:pt>
                <c:pt idx="1">
                  <c:v>4417.8579602081873</c:v>
                </c:pt>
                <c:pt idx="2">
                  <c:v>4334</c:v>
                </c:pt>
                <c:pt idx="3">
                  <c:v>5294</c:v>
                </c:pt>
                <c:pt idx="4">
                  <c:v>5728</c:v>
                </c:pt>
                <c:pt idx="5">
                  <c:v>5638</c:v>
                </c:pt>
                <c:pt idx="6">
                  <c:v>5873</c:v>
                </c:pt>
                <c:pt idx="7">
                  <c:v>5343.9576407506702</c:v>
                </c:pt>
                <c:pt idx="8">
                  <c:v>5123.5233243967832</c:v>
                </c:pt>
              </c:numCache>
            </c:numRef>
          </c:val>
          <c:smooth val="0"/>
        </c:ser>
        <c:ser>
          <c:idx val="4"/>
          <c:order val="4"/>
          <c:tx>
            <c:strRef>
              <c:f>'final-graphs'!$A$42</c:f>
              <c:strCache>
                <c:ptCount val="1"/>
                <c:pt idx="0">
                  <c:v>Fielding</c:v>
                </c:pt>
              </c:strCache>
            </c:strRef>
          </c:tx>
          <c:marker>
            <c:symbol val="none"/>
          </c:marker>
          <c:cat>
            <c:numRef>
              <c:f>'final-graphs'!$B$37:$J$37</c:f>
              <c:numCache>
                <c:formatCode>General</c:formatCode>
                <c:ptCount val="9"/>
                <c:pt idx="0">
                  <c:v>1926</c:v>
                </c:pt>
                <c:pt idx="1">
                  <c:v>1936</c:v>
                </c:pt>
                <c:pt idx="2">
                  <c:v>1946</c:v>
                </c:pt>
                <c:pt idx="3">
                  <c:v>1956</c:v>
                </c:pt>
                <c:pt idx="4">
                  <c:v>1966</c:v>
                </c:pt>
                <c:pt idx="5">
                  <c:v>1976</c:v>
                </c:pt>
                <c:pt idx="6">
                  <c:v>1986</c:v>
                </c:pt>
                <c:pt idx="7">
                  <c:v>1996</c:v>
                </c:pt>
                <c:pt idx="8">
                  <c:v>2006</c:v>
                </c:pt>
              </c:numCache>
            </c:numRef>
          </c:cat>
          <c:val>
            <c:numRef>
              <c:f>'final-graphs'!$B$42:$J$42</c:f>
              <c:numCache>
                <c:formatCode>0</c:formatCode>
                <c:ptCount val="9"/>
                <c:pt idx="0">
                  <c:v>4532.7980071178126</c:v>
                </c:pt>
                <c:pt idx="1">
                  <c:v>4843.6427741629986</c:v>
                </c:pt>
                <c:pt idx="2">
                  <c:v>5284.1533509409046</c:v>
                </c:pt>
                <c:pt idx="3">
                  <c:v>7168.1056454275331</c:v>
                </c:pt>
                <c:pt idx="4">
                  <c:v>9542.3293166061394</c:v>
                </c:pt>
                <c:pt idx="5">
                  <c:v>11509.754539451964</c:v>
                </c:pt>
                <c:pt idx="6">
                  <c:v>12802</c:v>
                </c:pt>
                <c:pt idx="7">
                  <c:v>13758.165975103735</c:v>
                </c:pt>
                <c:pt idx="8">
                  <c:v>13389.448376861119</c:v>
                </c:pt>
              </c:numCache>
            </c:numRef>
          </c:val>
          <c:smooth val="0"/>
        </c:ser>
        <c:ser>
          <c:idx val="5"/>
          <c:order val="5"/>
          <c:tx>
            <c:strRef>
              <c:f>'final-graphs'!$A$43</c:f>
              <c:strCache>
                <c:ptCount val="1"/>
                <c:pt idx="0">
                  <c:v>Hawera</c:v>
                </c:pt>
              </c:strCache>
            </c:strRef>
          </c:tx>
          <c:marker>
            <c:symbol val="none"/>
          </c:marker>
          <c:cat>
            <c:numRef>
              <c:f>'final-graphs'!$B$37:$J$37</c:f>
              <c:numCache>
                <c:formatCode>General</c:formatCode>
                <c:ptCount val="9"/>
                <c:pt idx="0">
                  <c:v>1926</c:v>
                </c:pt>
                <c:pt idx="1">
                  <c:v>1936</c:v>
                </c:pt>
                <c:pt idx="2">
                  <c:v>1946</c:v>
                </c:pt>
                <c:pt idx="3">
                  <c:v>1956</c:v>
                </c:pt>
                <c:pt idx="4">
                  <c:v>1966</c:v>
                </c:pt>
                <c:pt idx="5">
                  <c:v>1976</c:v>
                </c:pt>
                <c:pt idx="6">
                  <c:v>1986</c:v>
                </c:pt>
                <c:pt idx="7">
                  <c:v>1996</c:v>
                </c:pt>
                <c:pt idx="8">
                  <c:v>2006</c:v>
                </c:pt>
              </c:numCache>
            </c:numRef>
          </c:cat>
          <c:val>
            <c:numRef>
              <c:f>'final-graphs'!$B$43:$J$43</c:f>
              <c:numCache>
                <c:formatCode>0</c:formatCode>
                <c:ptCount val="9"/>
                <c:pt idx="0">
                  <c:v>4592.8934697711211</c:v>
                </c:pt>
                <c:pt idx="1">
                  <c:v>4758.2008996984532</c:v>
                </c:pt>
                <c:pt idx="2">
                  <c:v>4840</c:v>
                </c:pt>
                <c:pt idx="3">
                  <c:v>5620</c:v>
                </c:pt>
                <c:pt idx="4">
                  <c:v>8142</c:v>
                </c:pt>
                <c:pt idx="5">
                  <c:v>8506</c:v>
                </c:pt>
                <c:pt idx="6">
                  <c:v>11375</c:v>
                </c:pt>
                <c:pt idx="7">
                  <c:v>10983.72235872236</c:v>
                </c:pt>
                <c:pt idx="8">
                  <c:v>9977.5798525798527</c:v>
                </c:pt>
              </c:numCache>
            </c:numRef>
          </c:val>
          <c:smooth val="0"/>
        </c:ser>
        <c:ser>
          <c:idx val="6"/>
          <c:order val="6"/>
          <c:tx>
            <c:strRef>
              <c:f>'final-graphs'!$A$44</c:f>
              <c:strCache>
                <c:ptCount val="1"/>
                <c:pt idx="0">
                  <c:v>Gore</c:v>
                </c:pt>
              </c:strCache>
            </c:strRef>
          </c:tx>
          <c:marker>
            <c:symbol val="none"/>
          </c:marker>
          <c:cat>
            <c:numRef>
              <c:f>'final-graphs'!$B$37:$J$37</c:f>
              <c:numCache>
                <c:formatCode>General</c:formatCode>
                <c:ptCount val="9"/>
                <c:pt idx="0">
                  <c:v>1926</c:v>
                </c:pt>
                <c:pt idx="1">
                  <c:v>1936</c:v>
                </c:pt>
                <c:pt idx="2">
                  <c:v>1946</c:v>
                </c:pt>
                <c:pt idx="3">
                  <c:v>1956</c:v>
                </c:pt>
                <c:pt idx="4">
                  <c:v>1966</c:v>
                </c:pt>
                <c:pt idx="5">
                  <c:v>1976</c:v>
                </c:pt>
                <c:pt idx="6">
                  <c:v>1986</c:v>
                </c:pt>
                <c:pt idx="7">
                  <c:v>1996</c:v>
                </c:pt>
                <c:pt idx="8">
                  <c:v>2006</c:v>
                </c:pt>
              </c:numCache>
            </c:numRef>
          </c:cat>
          <c:val>
            <c:numRef>
              <c:f>'final-graphs'!$B$44:$J$44</c:f>
              <c:numCache>
                <c:formatCode>0</c:formatCode>
                <c:ptCount val="9"/>
                <c:pt idx="0">
                  <c:v>5146.6903863731477</c:v>
                </c:pt>
                <c:pt idx="1">
                  <c:v>6093.2081585797032</c:v>
                </c:pt>
                <c:pt idx="2">
                  <c:v>6544.6823365138471</c:v>
                </c:pt>
                <c:pt idx="3">
                  <c:v>8595.7857807772871</c:v>
                </c:pt>
                <c:pt idx="4">
                  <c:v>10607.621131021644</c:v>
                </c:pt>
                <c:pt idx="5">
                  <c:v>12014.727833372121</c:v>
                </c:pt>
                <c:pt idx="6">
                  <c:v>11249</c:v>
                </c:pt>
                <c:pt idx="7">
                  <c:v>10546.123643102992</c:v>
                </c:pt>
                <c:pt idx="8">
                  <c:v>9622.8538522637009</c:v>
                </c:pt>
              </c:numCache>
            </c:numRef>
          </c:val>
          <c:smooth val="0"/>
        </c:ser>
        <c:ser>
          <c:idx val="7"/>
          <c:order val="7"/>
          <c:tx>
            <c:strRef>
              <c:f>'final-graphs'!$A$45</c:f>
              <c:strCache>
                <c:ptCount val="1"/>
                <c:pt idx="0">
                  <c:v>Ashburton</c:v>
                </c:pt>
              </c:strCache>
            </c:strRef>
          </c:tx>
          <c:marker>
            <c:symbol val="none"/>
          </c:marker>
          <c:cat>
            <c:numRef>
              <c:f>'final-graphs'!$B$37:$J$37</c:f>
              <c:numCache>
                <c:formatCode>General</c:formatCode>
                <c:ptCount val="9"/>
                <c:pt idx="0">
                  <c:v>1926</c:v>
                </c:pt>
                <c:pt idx="1">
                  <c:v>1936</c:v>
                </c:pt>
                <c:pt idx="2">
                  <c:v>1946</c:v>
                </c:pt>
                <c:pt idx="3">
                  <c:v>1956</c:v>
                </c:pt>
                <c:pt idx="4">
                  <c:v>1966</c:v>
                </c:pt>
                <c:pt idx="5">
                  <c:v>1976</c:v>
                </c:pt>
                <c:pt idx="6">
                  <c:v>1986</c:v>
                </c:pt>
                <c:pt idx="7">
                  <c:v>1996</c:v>
                </c:pt>
                <c:pt idx="8">
                  <c:v>2006</c:v>
                </c:pt>
              </c:numCache>
            </c:numRef>
          </c:cat>
          <c:val>
            <c:numRef>
              <c:f>'final-graphs'!$B$45:$J$45</c:f>
              <c:numCache>
                <c:formatCode>0</c:formatCode>
                <c:ptCount val="9"/>
                <c:pt idx="0">
                  <c:v>5522.8304174635523</c:v>
                </c:pt>
                <c:pt idx="1">
                  <c:v>6177.1787566316416</c:v>
                </c:pt>
                <c:pt idx="2">
                  <c:v>8195.2209550962216</c:v>
                </c:pt>
                <c:pt idx="3">
                  <c:v>11045.638203848896</c:v>
                </c:pt>
                <c:pt idx="4">
                  <c:v>13754.945687811833</c:v>
                </c:pt>
                <c:pt idx="5">
                  <c:v>15440.664647184605</c:v>
                </c:pt>
                <c:pt idx="6">
                  <c:v>15229</c:v>
                </c:pt>
                <c:pt idx="7">
                  <c:v>15244.367305751764</c:v>
                </c:pt>
                <c:pt idx="8">
                  <c:v>16240.168718466195</c:v>
                </c:pt>
              </c:numCache>
            </c:numRef>
          </c:val>
          <c:smooth val="0"/>
        </c:ser>
        <c:ser>
          <c:idx val="8"/>
          <c:order val="8"/>
          <c:tx>
            <c:strRef>
              <c:f>'final-graphs'!$A$46</c:f>
              <c:strCache>
                <c:ptCount val="1"/>
                <c:pt idx="0">
                  <c:v>Blenheim</c:v>
                </c:pt>
              </c:strCache>
            </c:strRef>
          </c:tx>
          <c:marker>
            <c:symbol val="none"/>
          </c:marker>
          <c:cat>
            <c:numRef>
              <c:f>'final-graphs'!$B$37:$J$37</c:f>
              <c:numCache>
                <c:formatCode>General</c:formatCode>
                <c:ptCount val="9"/>
                <c:pt idx="0">
                  <c:v>1926</c:v>
                </c:pt>
                <c:pt idx="1">
                  <c:v>1936</c:v>
                </c:pt>
                <c:pt idx="2">
                  <c:v>1946</c:v>
                </c:pt>
                <c:pt idx="3">
                  <c:v>1956</c:v>
                </c:pt>
                <c:pt idx="4">
                  <c:v>1966</c:v>
                </c:pt>
                <c:pt idx="5">
                  <c:v>1976</c:v>
                </c:pt>
                <c:pt idx="6">
                  <c:v>1986</c:v>
                </c:pt>
                <c:pt idx="7">
                  <c:v>1996</c:v>
                </c:pt>
                <c:pt idx="8">
                  <c:v>2006</c:v>
                </c:pt>
              </c:numCache>
            </c:numRef>
          </c:cat>
          <c:val>
            <c:numRef>
              <c:f>'final-graphs'!$B$46:$J$46</c:f>
              <c:numCache>
                <c:formatCode>0</c:formatCode>
                <c:ptCount val="9"/>
                <c:pt idx="0">
                  <c:v>6212.1687967161724</c:v>
                </c:pt>
                <c:pt idx="1">
                  <c:v>6274.4649138112009</c:v>
                </c:pt>
                <c:pt idx="2">
                  <c:v>7160.5953681450737</c:v>
                </c:pt>
                <c:pt idx="3">
                  <c:v>11421.02572645838</c:v>
                </c:pt>
                <c:pt idx="4">
                  <c:v>16404.948765566965</c:v>
                </c:pt>
                <c:pt idx="5">
                  <c:v>21253.836355691503</c:v>
                </c:pt>
                <c:pt idx="6">
                  <c:v>22681</c:v>
                </c:pt>
                <c:pt idx="7">
                  <c:v>25875</c:v>
                </c:pt>
                <c:pt idx="8">
                  <c:v>28527</c:v>
                </c:pt>
              </c:numCache>
            </c:numRef>
          </c:val>
          <c:smooth val="0"/>
        </c:ser>
        <c:ser>
          <c:idx val="9"/>
          <c:order val="9"/>
          <c:tx>
            <c:strRef>
              <c:f>'final-graphs'!$A$47</c:f>
              <c:strCache>
                <c:ptCount val="1"/>
                <c:pt idx="0">
                  <c:v>Whangarei</c:v>
                </c:pt>
              </c:strCache>
            </c:strRef>
          </c:tx>
          <c:marker>
            <c:symbol val="none"/>
          </c:marker>
          <c:cat>
            <c:numRef>
              <c:f>'final-graphs'!$B$37:$J$37</c:f>
              <c:numCache>
                <c:formatCode>General</c:formatCode>
                <c:ptCount val="9"/>
                <c:pt idx="0">
                  <c:v>1926</c:v>
                </c:pt>
                <c:pt idx="1">
                  <c:v>1936</c:v>
                </c:pt>
                <c:pt idx="2">
                  <c:v>1946</c:v>
                </c:pt>
                <c:pt idx="3">
                  <c:v>1956</c:v>
                </c:pt>
                <c:pt idx="4">
                  <c:v>1966</c:v>
                </c:pt>
                <c:pt idx="5">
                  <c:v>1976</c:v>
                </c:pt>
                <c:pt idx="6">
                  <c:v>1986</c:v>
                </c:pt>
                <c:pt idx="7">
                  <c:v>1996</c:v>
                </c:pt>
                <c:pt idx="8">
                  <c:v>2006</c:v>
                </c:pt>
              </c:numCache>
            </c:numRef>
          </c:cat>
          <c:val>
            <c:numRef>
              <c:f>'final-graphs'!$B$47:$J$47</c:f>
              <c:numCache>
                <c:formatCode>0</c:formatCode>
                <c:ptCount val="9"/>
                <c:pt idx="0">
                  <c:v>6384.8631353325563</c:v>
                </c:pt>
                <c:pt idx="1">
                  <c:v>7287.6701474462889</c:v>
                </c:pt>
                <c:pt idx="2">
                  <c:v>9289</c:v>
                </c:pt>
                <c:pt idx="3">
                  <c:v>13363</c:v>
                </c:pt>
                <c:pt idx="4">
                  <c:v>29503</c:v>
                </c:pt>
                <c:pt idx="5">
                  <c:v>39069</c:v>
                </c:pt>
                <c:pt idx="6">
                  <c:v>44043</c:v>
                </c:pt>
                <c:pt idx="7">
                  <c:v>45785</c:v>
                </c:pt>
                <c:pt idx="8">
                  <c:v>49080</c:v>
                </c:pt>
              </c:numCache>
            </c:numRef>
          </c:val>
          <c:smooth val="0"/>
        </c:ser>
        <c:dLbls>
          <c:showLegendKey val="0"/>
          <c:showVal val="0"/>
          <c:showCatName val="0"/>
          <c:showSerName val="0"/>
          <c:showPercent val="0"/>
          <c:showBubbleSize val="0"/>
        </c:dLbls>
        <c:smooth val="0"/>
        <c:axId val="202597072"/>
        <c:axId val="202599424"/>
      </c:lineChart>
      <c:catAx>
        <c:axId val="202597072"/>
        <c:scaling>
          <c:orientation val="minMax"/>
        </c:scaling>
        <c:delete val="0"/>
        <c:axPos val="b"/>
        <c:numFmt formatCode="General" sourceLinked="1"/>
        <c:majorTickMark val="out"/>
        <c:minorTickMark val="none"/>
        <c:tickLblPos val="nextTo"/>
        <c:crossAx val="202599424"/>
        <c:crosses val="autoZero"/>
        <c:auto val="1"/>
        <c:lblAlgn val="ctr"/>
        <c:lblOffset val="100"/>
        <c:noMultiLvlLbl val="0"/>
      </c:catAx>
      <c:valAx>
        <c:axId val="202599424"/>
        <c:scaling>
          <c:orientation val="minMax"/>
        </c:scaling>
        <c:delete val="0"/>
        <c:axPos val="l"/>
        <c:majorGridlines/>
        <c:numFmt formatCode="0" sourceLinked="1"/>
        <c:majorTickMark val="out"/>
        <c:minorTickMark val="none"/>
        <c:tickLblPos val="nextTo"/>
        <c:crossAx val="202597072"/>
        <c:crosses val="autoZero"/>
        <c:crossBetween val="between"/>
      </c:valAx>
    </c:plotArea>
    <c:legend>
      <c:legendPos val="r"/>
      <c:overlay val="0"/>
    </c:legend>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strRef>
              <c:f>'final-graphs'!$A$50</c:f>
              <c:strCache>
                <c:ptCount val="1"/>
                <c:pt idx="0">
                  <c:v>Oamaru</c:v>
                </c:pt>
              </c:strCache>
            </c:strRef>
          </c:tx>
          <c:marker>
            <c:symbol val="none"/>
          </c:marker>
          <c:cat>
            <c:numRef>
              <c:f>'final-graphs'!$B$49:$J$49</c:f>
              <c:numCache>
                <c:formatCode>General</c:formatCode>
                <c:ptCount val="9"/>
                <c:pt idx="0">
                  <c:v>1926</c:v>
                </c:pt>
                <c:pt idx="1">
                  <c:v>1936</c:v>
                </c:pt>
                <c:pt idx="2">
                  <c:v>1946</c:v>
                </c:pt>
                <c:pt idx="3">
                  <c:v>1956</c:v>
                </c:pt>
                <c:pt idx="4">
                  <c:v>1966</c:v>
                </c:pt>
                <c:pt idx="5">
                  <c:v>1976</c:v>
                </c:pt>
                <c:pt idx="6">
                  <c:v>1986</c:v>
                </c:pt>
                <c:pt idx="7">
                  <c:v>1996</c:v>
                </c:pt>
                <c:pt idx="8">
                  <c:v>2006</c:v>
                </c:pt>
              </c:numCache>
            </c:numRef>
          </c:cat>
          <c:val>
            <c:numRef>
              <c:f>'final-graphs'!$B$50:$J$50</c:f>
              <c:numCache>
                <c:formatCode>0</c:formatCode>
                <c:ptCount val="9"/>
                <c:pt idx="0">
                  <c:v>7891.9882454664112</c:v>
                </c:pt>
                <c:pt idx="1">
                  <c:v>8447.0787696650495</c:v>
                </c:pt>
                <c:pt idx="2">
                  <c:v>8424.1074138476124</c:v>
                </c:pt>
                <c:pt idx="3">
                  <c:v>11036.582911792602</c:v>
                </c:pt>
                <c:pt idx="4">
                  <c:v>14848.319791337337</c:v>
                </c:pt>
                <c:pt idx="5">
                  <c:v>15179.383496680366</c:v>
                </c:pt>
                <c:pt idx="6">
                  <c:v>14247</c:v>
                </c:pt>
                <c:pt idx="7">
                  <c:v>13464.811764705881</c:v>
                </c:pt>
                <c:pt idx="8">
                  <c:v>12383.551557093424</c:v>
                </c:pt>
              </c:numCache>
            </c:numRef>
          </c:val>
          <c:smooth val="0"/>
        </c:ser>
        <c:ser>
          <c:idx val="1"/>
          <c:order val="1"/>
          <c:tx>
            <c:strRef>
              <c:f>'final-graphs'!$A$51</c:f>
              <c:strCache>
                <c:ptCount val="1"/>
                <c:pt idx="0">
                  <c:v>Masterton</c:v>
                </c:pt>
              </c:strCache>
            </c:strRef>
          </c:tx>
          <c:marker>
            <c:symbol val="none"/>
          </c:marker>
          <c:cat>
            <c:numRef>
              <c:f>'final-graphs'!$B$49:$J$49</c:f>
              <c:numCache>
                <c:formatCode>General</c:formatCode>
                <c:ptCount val="9"/>
                <c:pt idx="0">
                  <c:v>1926</c:v>
                </c:pt>
                <c:pt idx="1">
                  <c:v>1936</c:v>
                </c:pt>
                <c:pt idx="2">
                  <c:v>1946</c:v>
                </c:pt>
                <c:pt idx="3">
                  <c:v>1956</c:v>
                </c:pt>
                <c:pt idx="4">
                  <c:v>1966</c:v>
                </c:pt>
                <c:pt idx="5">
                  <c:v>1976</c:v>
                </c:pt>
                <c:pt idx="6">
                  <c:v>1986</c:v>
                </c:pt>
                <c:pt idx="7">
                  <c:v>1996</c:v>
                </c:pt>
                <c:pt idx="8">
                  <c:v>2006</c:v>
                </c:pt>
              </c:numCache>
            </c:numRef>
          </c:cat>
          <c:val>
            <c:numRef>
              <c:f>'final-graphs'!$B$51:$J$51</c:f>
              <c:numCache>
                <c:formatCode>0</c:formatCode>
                <c:ptCount val="9"/>
                <c:pt idx="0">
                  <c:v>8188</c:v>
                </c:pt>
                <c:pt idx="1">
                  <c:v>9164</c:v>
                </c:pt>
                <c:pt idx="2">
                  <c:v>9535</c:v>
                </c:pt>
                <c:pt idx="3">
                  <c:v>13000</c:v>
                </c:pt>
                <c:pt idx="4">
                  <c:v>17596</c:v>
                </c:pt>
                <c:pt idx="5">
                  <c:v>21001</c:v>
                </c:pt>
                <c:pt idx="6">
                  <c:v>19353</c:v>
                </c:pt>
                <c:pt idx="7">
                  <c:v>19686</c:v>
                </c:pt>
                <c:pt idx="8">
                  <c:v>19497</c:v>
                </c:pt>
              </c:numCache>
            </c:numRef>
          </c:val>
          <c:smooth val="0"/>
        </c:ser>
        <c:ser>
          <c:idx val="2"/>
          <c:order val="2"/>
          <c:tx>
            <c:strRef>
              <c:f>'final-graphs'!$A$52</c:f>
              <c:strCache>
                <c:ptCount val="1"/>
                <c:pt idx="0">
                  <c:v>Greymouth</c:v>
                </c:pt>
              </c:strCache>
            </c:strRef>
          </c:tx>
          <c:marker>
            <c:symbol val="none"/>
          </c:marker>
          <c:cat>
            <c:numRef>
              <c:f>'final-graphs'!$B$49:$J$49</c:f>
              <c:numCache>
                <c:formatCode>General</c:formatCode>
                <c:ptCount val="9"/>
                <c:pt idx="0">
                  <c:v>1926</c:v>
                </c:pt>
                <c:pt idx="1">
                  <c:v>1936</c:v>
                </c:pt>
                <c:pt idx="2">
                  <c:v>1946</c:v>
                </c:pt>
                <c:pt idx="3">
                  <c:v>1956</c:v>
                </c:pt>
                <c:pt idx="4">
                  <c:v>1966</c:v>
                </c:pt>
                <c:pt idx="5">
                  <c:v>1976</c:v>
                </c:pt>
                <c:pt idx="6">
                  <c:v>1986</c:v>
                </c:pt>
                <c:pt idx="7">
                  <c:v>1996</c:v>
                </c:pt>
                <c:pt idx="8">
                  <c:v>2006</c:v>
                </c:pt>
              </c:numCache>
            </c:numRef>
          </c:cat>
          <c:val>
            <c:numRef>
              <c:f>'final-graphs'!$B$52:$J$52</c:f>
              <c:numCache>
                <c:formatCode>0</c:formatCode>
                <c:ptCount val="9"/>
                <c:pt idx="0">
                  <c:v>8349.8242611835321</c:v>
                </c:pt>
                <c:pt idx="1">
                  <c:v>12054.585283669161</c:v>
                </c:pt>
                <c:pt idx="2">
                  <c:v>12370.261673662118</c:v>
                </c:pt>
                <c:pt idx="3">
                  <c:v>13216.609129066106</c:v>
                </c:pt>
                <c:pt idx="4">
                  <c:v>12782.357555089191</c:v>
                </c:pt>
                <c:pt idx="5">
                  <c:v>12232.896379853095</c:v>
                </c:pt>
                <c:pt idx="6">
                  <c:v>11261</c:v>
                </c:pt>
                <c:pt idx="7">
                  <c:v>10652.051654560129</c:v>
                </c:pt>
                <c:pt idx="8">
                  <c:v>9994.6298089857428</c:v>
                </c:pt>
              </c:numCache>
            </c:numRef>
          </c:val>
          <c:smooth val="0"/>
        </c:ser>
        <c:ser>
          <c:idx val="3"/>
          <c:order val="3"/>
          <c:tx>
            <c:strRef>
              <c:f>'final-graphs'!$A$53</c:f>
              <c:strCache>
                <c:ptCount val="1"/>
                <c:pt idx="0">
                  <c:v>Nelson</c:v>
                </c:pt>
              </c:strCache>
            </c:strRef>
          </c:tx>
          <c:marker>
            <c:symbol val="none"/>
          </c:marker>
          <c:cat>
            <c:numRef>
              <c:f>'final-graphs'!$B$49:$J$49</c:f>
              <c:numCache>
                <c:formatCode>General</c:formatCode>
                <c:ptCount val="9"/>
                <c:pt idx="0">
                  <c:v>1926</c:v>
                </c:pt>
                <c:pt idx="1">
                  <c:v>1936</c:v>
                </c:pt>
                <c:pt idx="2">
                  <c:v>1946</c:v>
                </c:pt>
                <c:pt idx="3">
                  <c:v>1956</c:v>
                </c:pt>
                <c:pt idx="4">
                  <c:v>1966</c:v>
                </c:pt>
                <c:pt idx="5">
                  <c:v>1976</c:v>
                </c:pt>
                <c:pt idx="6">
                  <c:v>1986</c:v>
                </c:pt>
                <c:pt idx="7">
                  <c:v>1996</c:v>
                </c:pt>
                <c:pt idx="8">
                  <c:v>2006</c:v>
                </c:pt>
              </c:numCache>
            </c:numRef>
          </c:cat>
          <c:val>
            <c:numRef>
              <c:f>'final-graphs'!$B$53:$J$53</c:f>
              <c:numCache>
                <c:formatCode>0</c:formatCode>
                <c:ptCount val="9"/>
                <c:pt idx="0">
                  <c:v>11829.07686707517</c:v>
                </c:pt>
                <c:pt idx="1">
                  <c:v>13661.467451313476</c:v>
                </c:pt>
                <c:pt idx="2">
                  <c:v>16577</c:v>
                </c:pt>
                <c:pt idx="3">
                  <c:v>22503</c:v>
                </c:pt>
                <c:pt idx="4">
                  <c:v>27615</c:v>
                </c:pt>
                <c:pt idx="5">
                  <c:v>42433</c:v>
                </c:pt>
                <c:pt idx="6">
                  <c:v>44593</c:v>
                </c:pt>
                <c:pt idx="7">
                  <c:v>50691</c:v>
                </c:pt>
                <c:pt idx="8">
                  <c:v>56367</c:v>
                </c:pt>
              </c:numCache>
            </c:numRef>
          </c:val>
          <c:smooth val="0"/>
        </c:ser>
        <c:ser>
          <c:idx val="4"/>
          <c:order val="4"/>
          <c:tx>
            <c:strRef>
              <c:f>'final-graphs'!$A$54</c:f>
              <c:strCache>
                <c:ptCount val="1"/>
                <c:pt idx="0">
                  <c:v>Hastings</c:v>
                </c:pt>
              </c:strCache>
            </c:strRef>
          </c:tx>
          <c:marker>
            <c:symbol val="none"/>
          </c:marker>
          <c:cat>
            <c:numRef>
              <c:f>'final-graphs'!$B$49:$J$49</c:f>
              <c:numCache>
                <c:formatCode>General</c:formatCode>
                <c:ptCount val="9"/>
                <c:pt idx="0">
                  <c:v>1926</c:v>
                </c:pt>
                <c:pt idx="1">
                  <c:v>1936</c:v>
                </c:pt>
                <c:pt idx="2">
                  <c:v>1946</c:v>
                </c:pt>
                <c:pt idx="3">
                  <c:v>1956</c:v>
                </c:pt>
                <c:pt idx="4">
                  <c:v>1966</c:v>
                </c:pt>
                <c:pt idx="5">
                  <c:v>1976</c:v>
                </c:pt>
                <c:pt idx="6">
                  <c:v>1986</c:v>
                </c:pt>
                <c:pt idx="7">
                  <c:v>1996</c:v>
                </c:pt>
                <c:pt idx="8">
                  <c:v>2006</c:v>
                </c:pt>
              </c:numCache>
            </c:numRef>
          </c:cat>
          <c:val>
            <c:numRef>
              <c:f>'final-graphs'!$B$54:$J$54</c:f>
              <c:numCache>
                <c:formatCode>0</c:formatCode>
                <c:ptCount val="9"/>
                <c:pt idx="0">
                  <c:v>15571.388732404585</c:v>
                </c:pt>
                <c:pt idx="1">
                  <c:v>19106.279069730754</c:v>
                </c:pt>
                <c:pt idx="2">
                  <c:v>20999.780363874772</c:v>
                </c:pt>
                <c:pt idx="3">
                  <c:v>28702.454351745615</c:v>
                </c:pt>
                <c:pt idx="4">
                  <c:v>38700.333060154073</c:v>
                </c:pt>
                <c:pt idx="5">
                  <c:v>52488.088510080313</c:v>
                </c:pt>
                <c:pt idx="6">
                  <c:v>56717.999999999993</c:v>
                </c:pt>
                <c:pt idx="7">
                  <c:v>58675</c:v>
                </c:pt>
                <c:pt idx="8">
                  <c:v>62118</c:v>
                </c:pt>
              </c:numCache>
            </c:numRef>
          </c:val>
          <c:smooth val="0"/>
        </c:ser>
        <c:ser>
          <c:idx val="5"/>
          <c:order val="5"/>
          <c:tx>
            <c:strRef>
              <c:f>'final-graphs'!$A$55</c:f>
              <c:strCache>
                <c:ptCount val="1"/>
                <c:pt idx="0">
                  <c:v>Gisborne</c:v>
                </c:pt>
              </c:strCache>
            </c:strRef>
          </c:tx>
          <c:marker>
            <c:symbol val="none"/>
          </c:marker>
          <c:cat>
            <c:numRef>
              <c:f>'final-graphs'!$B$49:$J$49</c:f>
              <c:numCache>
                <c:formatCode>General</c:formatCode>
                <c:ptCount val="9"/>
                <c:pt idx="0">
                  <c:v>1926</c:v>
                </c:pt>
                <c:pt idx="1">
                  <c:v>1936</c:v>
                </c:pt>
                <c:pt idx="2">
                  <c:v>1946</c:v>
                </c:pt>
                <c:pt idx="3">
                  <c:v>1956</c:v>
                </c:pt>
                <c:pt idx="4">
                  <c:v>1966</c:v>
                </c:pt>
                <c:pt idx="5">
                  <c:v>1976</c:v>
                </c:pt>
                <c:pt idx="6">
                  <c:v>1986</c:v>
                </c:pt>
                <c:pt idx="7">
                  <c:v>1996</c:v>
                </c:pt>
                <c:pt idx="8">
                  <c:v>2006</c:v>
                </c:pt>
              </c:numCache>
            </c:numRef>
          </c:cat>
          <c:val>
            <c:numRef>
              <c:f>'final-graphs'!$B$55:$J$55</c:f>
              <c:numCache>
                <c:formatCode>0</c:formatCode>
                <c:ptCount val="9"/>
                <c:pt idx="0">
                  <c:v>15637.803736577494</c:v>
                </c:pt>
                <c:pt idx="1">
                  <c:v>16745.753832785053</c:v>
                </c:pt>
                <c:pt idx="2">
                  <c:v>16984</c:v>
                </c:pt>
                <c:pt idx="3">
                  <c:v>22622</c:v>
                </c:pt>
                <c:pt idx="4">
                  <c:v>27804</c:v>
                </c:pt>
                <c:pt idx="5">
                  <c:v>31790</c:v>
                </c:pt>
                <c:pt idx="6">
                  <c:v>32238</c:v>
                </c:pt>
                <c:pt idx="7">
                  <c:v>32653</c:v>
                </c:pt>
                <c:pt idx="8">
                  <c:v>32529</c:v>
                </c:pt>
              </c:numCache>
            </c:numRef>
          </c:val>
          <c:smooth val="0"/>
        </c:ser>
        <c:ser>
          <c:idx val="6"/>
          <c:order val="6"/>
          <c:tx>
            <c:strRef>
              <c:f>'final-graphs'!$A$56</c:f>
              <c:strCache>
                <c:ptCount val="1"/>
                <c:pt idx="0">
                  <c:v>New Plymouth</c:v>
                </c:pt>
              </c:strCache>
            </c:strRef>
          </c:tx>
          <c:marker>
            <c:symbol val="none"/>
          </c:marker>
          <c:cat>
            <c:numRef>
              <c:f>'final-graphs'!$B$49:$J$49</c:f>
              <c:numCache>
                <c:formatCode>General</c:formatCode>
                <c:ptCount val="9"/>
                <c:pt idx="0">
                  <c:v>1926</c:v>
                </c:pt>
                <c:pt idx="1">
                  <c:v>1936</c:v>
                </c:pt>
                <c:pt idx="2">
                  <c:v>1946</c:v>
                </c:pt>
                <c:pt idx="3">
                  <c:v>1956</c:v>
                </c:pt>
                <c:pt idx="4">
                  <c:v>1966</c:v>
                </c:pt>
                <c:pt idx="5">
                  <c:v>1976</c:v>
                </c:pt>
                <c:pt idx="6">
                  <c:v>1986</c:v>
                </c:pt>
                <c:pt idx="7">
                  <c:v>1996</c:v>
                </c:pt>
                <c:pt idx="8">
                  <c:v>2006</c:v>
                </c:pt>
              </c:numCache>
            </c:numRef>
          </c:cat>
          <c:val>
            <c:numRef>
              <c:f>'final-graphs'!$B$56:$J$56</c:f>
              <c:numCache>
                <c:formatCode>0</c:formatCode>
                <c:ptCount val="9"/>
                <c:pt idx="0">
                  <c:v>16263.39393939394</c:v>
                </c:pt>
                <c:pt idx="1">
                  <c:v>18898.108655890061</c:v>
                </c:pt>
                <c:pt idx="2">
                  <c:v>20642</c:v>
                </c:pt>
                <c:pt idx="3">
                  <c:v>28292</c:v>
                </c:pt>
                <c:pt idx="4">
                  <c:v>35280</c:v>
                </c:pt>
                <c:pt idx="5">
                  <c:v>43914</c:v>
                </c:pt>
                <c:pt idx="6">
                  <c:v>47384</c:v>
                </c:pt>
                <c:pt idx="7">
                  <c:v>49306</c:v>
                </c:pt>
                <c:pt idx="8">
                  <c:v>49281</c:v>
                </c:pt>
              </c:numCache>
            </c:numRef>
          </c:val>
          <c:smooth val="0"/>
        </c:ser>
        <c:ser>
          <c:idx val="7"/>
          <c:order val="7"/>
          <c:tx>
            <c:strRef>
              <c:f>'final-graphs'!$A$57</c:f>
              <c:strCache>
                <c:ptCount val="1"/>
                <c:pt idx="0">
                  <c:v>Timaru</c:v>
                </c:pt>
              </c:strCache>
            </c:strRef>
          </c:tx>
          <c:marker>
            <c:symbol val="none"/>
          </c:marker>
          <c:cat>
            <c:numRef>
              <c:f>'final-graphs'!$B$49:$J$49</c:f>
              <c:numCache>
                <c:formatCode>General</c:formatCode>
                <c:ptCount val="9"/>
                <c:pt idx="0">
                  <c:v>1926</c:v>
                </c:pt>
                <c:pt idx="1">
                  <c:v>1936</c:v>
                </c:pt>
                <c:pt idx="2">
                  <c:v>1946</c:v>
                </c:pt>
                <c:pt idx="3">
                  <c:v>1956</c:v>
                </c:pt>
                <c:pt idx="4">
                  <c:v>1966</c:v>
                </c:pt>
                <c:pt idx="5">
                  <c:v>1976</c:v>
                </c:pt>
                <c:pt idx="6">
                  <c:v>1986</c:v>
                </c:pt>
                <c:pt idx="7">
                  <c:v>1996</c:v>
                </c:pt>
                <c:pt idx="8">
                  <c:v>2006</c:v>
                </c:pt>
              </c:numCache>
            </c:numRef>
          </c:cat>
          <c:val>
            <c:numRef>
              <c:f>'final-graphs'!$B$57:$J$57</c:f>
              <c:numCache>
                <c:formatCode>0</c:formatCode>
                <c:ptCount val="9"/>
                <c:pt idx="0">
                  <c:v>16840.202974091673</c:v>
                </c:pt>
                <c:pt idx="1">
                  <c:v>18839.958301395061</c:v>
                </c:pt>
                <c:pt idx="2">
                  <c:v>19596</c:v>
                </c:pt>
                <c:pt idx="3">
                  <c:v>24694</c:v>
                </c:pt>
                <c:pt idx="4">
                  <c:v>27946</c:v>
                </c:pt>
                <c:pt idx="5">
                  <c:v>29958</c:v>
                </c:pt>
                <c:pt idx="6">
                  <c:v>28621</c:v>
                </c:pt>
                <c:pt idx="7">
                  <c:v>27521</c:v>
                </c:pt>
                <c:pt idx="8">
                  <c:v>26886</c:v>
                </c:pt>
              </c:numCache>
            </c:numRef>
          </c:val>
          <c:smooth val="0"/>
        </c:ser>
        <c:ser>
          <c:idx val="8"/>
          <c:order val="8"/>
          <c:tx>
            <c:strRef>
              <c:f>'final-graphs'!$A$58</c:f>
              <c:strCache>
                <c:ptCount val="1"/>
                <c:pt idx="0">
                  <c:v>Napier</c:v>
                </c:pt>
              </c:strCache>
            </c:strRef>
          </c:tx>
          <c:marker>
            <c:symbol val="none"/>
          </c:marker>
          <c:cat>
            <c:numRef>
              <c:f>'final-graphs'!$B$49:$J$49</c:f>
              <c:numCache>
                <c:formatCode>General</c:formatCode>
                <c:ptCount val="9"/>
                <c:pt idx="0">
                  <c:v>1926</c:v>
                </c:pt>
                <c:pt idx="1">
                  <c:v>1936</c:v>
                </c:pt>
                <c:pt idx="2">
                  <c:v>1946</c:v>
                </c:pt>
                <c:pt idx="3">
                  <c:v>1956</c:v>
                </c:pt>
                <c:pt idx="4">
                  <c:v>1966</c:v>
                </c:pt>
                <c:pt idx="5">
                  <c:v>1976</c:v>
                </c:pt>
                <c:pt idx="6">
                  <c:v>1986</c:v>
                </c:pt>
                <c:pt idx="7">
                  <c:v>1996</c:v>
                </c:pt>
                <c:pt idx="8">
                  <c:v>2006</c:v>
                </c:pt>
              </c:numCache>
            </c:numRef>
          </c:cat>
          <c:val>
            <c:numRef>
              <c:f>'final-graphs'!$B$58:$J$58</c:f>
              <c:numCache>
                <c:formatCode>0</c:formatCode>
                <c:ptCount val="9"/>
                <c:pt idx="0">
                  <c:v>18363.659805257052</c:v>
                </c:pt>
                <c:pt idx="1">
                  <c:v>19137.815095101156</c:v>
                </c:pt>
                <c:pt idx="2">
                  <c:v>20297</c:v>
                </c:pt>
                <c:pt idx="3">
                  <c:v>27507</c:v>
                </c:pt>
                <c:pt idx="4">
                  <c:v>38309</c:v>
                </c:pt>
                <c:pt idx="5">
                  <c:v>50164</c:v>
                </c:pt>
                <c:pt idx="6">
                  <c:v>52151</c:v>
                </c:pt>
                <c:pt idx="7">
                  <c:v>55044</c:v>
                </c:pt>
                <c:pt idx="8">
                  <c:v>56286</c:v>
                </c:pt>
              </c:numCache>
            </c:numRef>
          </c:val>
          <c:smooth val="0"/>
        </c:ser>
        <c:ser>
          <c:idx val="9"/>
          <c:order val="9"/>
          <c:tx>
            <c:strRef>
              <c:f>'final-graphs'!$A$59</c:f>
              <c:strCache>
                <c:ptCount val="1"/>
                <c:pt idx="0">
                  <c:v>Palmerston North</c:v>
                </c:pt>
              </c:strCache>
            </c:strRef>
          </c:tx>
          <c:marker>
            <c:symbol val="none"/>
          </c:marker>
          <c:cat>
            <c:numRef>
              <c:f>'final-graphs'!$B$49:$J$49</c:f>
              <c:numCache>
                <c:formatCode>General</c:formatCode>
                <c:ptCount val="9"/>
                <c:pt idx="0">
                  <c:v>1926</c:v>
                </c:pt>
                <c:pt idx="1">
                  <c:v>1936</c:v>
                </c:pt>
                <c:pt idx="2">
                  <c:v>1946</c:v>
                </c:pt>
                <c:pt idx="3">
                  <c:v>1956</c:v>
                </c:pt>
                <c:pt idx="4">
                  <c:v>1966</c:v>
                </c:pt>
                <c:pt idx="5">
                  <c:v>1976</c:v>
                </c:pt>
                <c:pt idx="6">
                  <c:v>1986</c:v>
                </c:pt>
                <c:pt idx="7">
                  <c:v>1996</c:v>
                </c:pt>
                <c:pt idx="8">
                  <c:v>2006</c:v>
                </c:pt>
              </c:numCache>
            </c:numRef>
          </c:cat>
          <c:val>
            <c:numRef>
              <c:f>'final-graphs'!$B$59:$J$59</c:f>
              <c:numCache>
                <c:formatCode>0</c:formatCode>
                <c:ptCount val="9"/>
                <c:pt idx="0">
                  <c:v>19902.021926100922</c:v>
                </c:pt>
                <c:pt idx="1">
                  <c:v>24247.340371341037</c:v>
                </c:pt>
                <c:pt idx="2">
                  <c:v>27294</c:v>
                </c:pt>
                <c:pt idx="3">
                  <c:v>37775</c:v>
                </c:pt>
                <c:pt idx="4">
                  <c:v>49140</c:v>
                </c:pt>
                <c:pt idx="5">
                  <c:v>63873</c:v>
                </c:pt>
                <c:pt idx="6">
                  <c:v>67405</c:v>
                </c:pt>
                <c:pt idx="7">
                  <c:v>73862</c:v>
                </c:pt>
                <c:pt idx="8">
                  <c:v>76032</c:v>
                </c:pt>
              </c:numCache>
            </c:numRef>
          </c:val>
          <c:smooth val="0"/>
        </c:ser>
        <c:dLbls>
          <c:showLegendKey val="0"/>
          <c:showVal val="0"/>
          <c:showCatName val="0"/>
          <c:showSerName val="0"/>
          <c:showPercent val="0"/>
          <c:showBubbleSize val="0"/>
        </c:dLbls>
        <c:smooth val="0"/>
        <c:axId val="230343696"/>
        <c:axId val="230341736"/>
      </c:lineChart>
      <c:catAx>
        <c:axId val="230343696"/>
        <c:scaling>
          <c:orientation val="minMax"/>
        </c:scaling>
        <c:delete val="0"/>
        <c:axPos val="b"/>
        <c:numFmt formatCode="General" sourceLinked="1"/>
        <c:majorTickMark val="out"/>
        <c:minorTickMark val="none"/>
        <c:tickLblPos val="nextTo"/>
        <c:crossAx val="230341736"/>
        <c:crosses val="autoZero"/>
        <c:auto val="1"/>
        <c:lblAlgn val="ctr"/>
        <c:lblOffset val="100"/>
        <c:noMultiLvlLbl val="0"/>
      </c:catAx>
      <c:valAx>
        <c:axId val="230341736"/>
        <c:scaling>
          <c:orientation val="minMax"/>
        </c:scaling>
        <c:delete val="0"/>
        <c:axPos val="l"/>
        <c:majorGridlines/>
        <c:numFmt formatCode="0" sourceLinked="1"/>
        <c:majorTickMark val="out"/>
        <c:minorTickMark val="none"/>
        <c:tickLblPos val="nextTo"/>
        <c:crossAx val="230343696"/>
        <c:crosses val="autoZero"/>
        <c:crossBetween val="between"/>
      </c:valAx>
    </c:plotArea>
    <c:legend>
      <c:legendPos val="r"/>
      <c:overlay val="0"/>
    </c:legend>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strRef>
              <c:f>'final-graphs'!$A$62</c:f>
              <c:strCache>
                <c:ptCount val="1"/>
                <c:pt idx="0">
                  <c:v>Invercargill</c:v>
                </c:pt>
              </c:strCache>
            </c:strRef>
          </c:tx>
          <c:marker>
            <c:symbol val="none"/>
          </c:marker>
          <c:cat>
            <c:numRef>
              <c:f>'final-graphs'!$B$61:$J$61</c:f>
              <c:numCache>
                <c:formatCode>General</c:formatCode>
                <c:ptCount val="9"/>
                <c:pt idx="0">
                  <c:v>1926</c:v>
                </c:pt>
                <c:pt idx="1">
                  <c:v>1936</c:v>
                </c:pt>
                <c:pt idx="2">
                  <c:v>1946</c:v>
                </c:pt>
                <c:pt idx="3">
                  <c:v>1956</c:v>
                </c:pt>
                <c:pt idx="4">
                  <c:v>1966</c:v>
                </c:pt>
                <c:pt idx="5">
                  <c:v>1976</c:v>
                </c:pt>
                <c:pt idx="6">
                  <c:v>1986</c:v>
                </c:pt>
                <c:pt idx="7">
                  <c:v>1996</c:v>
                </c:pt>
                <c:pt idx="8">
                  <c:v>2006</c:v>
                </c:pt>
              </c:numCache>
            </c:numRef>
          </c:cat>
          <c:val>
            <c:numRef>
              <c:f>'final-graphs'!$B$62:$J$62</c:f>
              <c:numCache>
                <c:formatCode>0</c:formatCode>
                <c:ptCount val="9"/>
                <c:pt idx="0">
                  <c:v>21956.726842411888</c:v>
                </c:pt>
                <c:pt idx="1">
                  <c:v>25883.668657151182</c:v>
                </c:pt>
                <c:pt idx="2">
                  <c:v>27583</c:v>
                </c:pt>
                <c:pt idx="3">
                  <c:v>35107</c:v>
                </c:pt>
                <c:pt idx="4">
                  <c:v>46016</c:v>
                </c:pt>
                <c:pt idx="5">
                  <c:v>53762</c:v>
                </c:pt>
                <c:pt idx="6">
                  <c:v>52807</c:v>
                </c:pt>
                <c:pt idx="7">
                  <c:v>49306</c:v>
                </c:pt>
                <c:pt idx="8">
                  <c:v>46773</c:v>
                </c:pt>
              </c:numCache>
            </c:numRef>
          </c:val>
          <c:smooth val="0"/>
        </c:ser>
        <c:ser>
          <c:idx val="1"/>
          <c:order val="1"/>
          <c:tx>
            <c:strRef>
              <c:f>'final-graphs'!$A$63</c:f>
              <c:strCache>
                <c:ptCount val="1"/>
                <c:pt idx="0">
                  <c:v>Hamilton</c:v>
                </c:pt>
              </c:strCache>
            </c:strRef>
          </c:tx>
          <c:marker>
            <c:symbol val="none"/>
          </c:marker>
          <c:cat>
            <c:numRef>
              <c:f>'final-graphs'!$B$61:$J$61</c:f>
              <c:numCache>
                <c:formatCode>General</c:formatCode>
                <c:ptCount val="9"/>
                <c:pt idx="0">
                  <c:v>1926</c:v>
                </c:pt>
                <c:pt idx="1">
                  <c:v>1936</c:v>
                </c:pt>
                <c:pt idx="2">
                  <c:v>1946</c:v>
                </c:pt>
                <c:pt idx="3">
                  <c:v>1956</c:v>
                </c:pt>
                <c:pt idx="4">
                  <c:v>1966</c:v>
                </c:pt>
                <c:pt idx="5">
                  <c:v>1976</c:v>
                </c:pt>
                <c:pt idx="6">
                  <c:v>1986</c:v>
                </c:pt>
                <c:pt idx="7">
                  <c:v>1996</c:v>
                </c:pt>
                <c:pt idx="8">
                  <c:v>2006</c:v>
                </c:pt>
              </c:numCache>
            </c:numRef>
          </c:cat>
          <c:val>
            <c:numRef>
              <c:f>'final-graphs'!$B$63:$J$63</c:f>
              <c:numCache>
                <c:formatCode>0</c:formatCode>
                <c:ptCount val="9"/>
                <c:pt idx="0">
                  <c:v>23173.816978838771</c:v>
                </c:pt>
                <c:pt idx="1">
                  <c:v>28219.880371695446</c:v>
                </c:pt>
                <c:pt idx="2">
                  <c:v>36937.739577693559</c:v>
                </c:pt>
                <c:pt idx="3">
                  <c:v>56204.030319436926</c:v>
                </c:pt>
                <c:pt idx="4">
                  <c:v>87749.795343800753</c:v>
                </c:pt>
                <c:pt idx="5">
                  <c:v>127306.72495939361</c:v>
                </c:pt>
                <c:pt idx="6">
                  <c:v>138645</c:v>
                </c:pt>
                <c:pt idx="7">
                  <c:v>159234</c:v>
                </c:pt>
                <c:pt idx="8">
                  <c:v>184908</c:v>
                </c:pt>
              </c:numCache>
            </c:numRef>
          </c:val>
          <c:smooth val="0"/>
        </c:ser>
        <c:ser>
          <c:idx val="2"/>
          <c:order val="2"/>
          <c:tx>
            <c:strRef>
              <c:f>'final-graphs'!$A$64</c:f>
              <c:strCache>
                <c:ptCount val="1"/>
                <c:pt idx="0">
                  <c:v>Wanganui</c:v>
                </c:pt>
              </c:strCache>
            </c:strRef>
          </c:tx>
          <c:marker>
            <c:symbol val="none"/>
          </c:marker>
          <c:cat>
            <c:numRef>
              <c:f>'final-graphs'!$B$61:$J$61</c:f>
              <c:numCache>
                <c:formatCode>General</c:formatCode>
                <c:ptCount val="9"/>
                <c:pt idx="0">
                  <c:v>1926</c:v>
                </c:pt>
                <c:pt idx="1">
                  <c:v>1936</c:v>
                </c:pt>
                <c:pt idx="2">
                  <c:v>1946</c:v>
                </c:pt>
                <c:pt idx="3">
                  <c:v>1956</c:v>
                </c:pt>
                <c:pt idx="4">
                  <c:v>1966</c:v>
                </c:pt>
                <c:pt idx="5">
                  <c:v>1976</c:v>
                </c:pt>
                <c:pt idx="6">
                  <c:v>1986</c:v>
                </c:pt>
                <c:pt idx="7">
                  <c:v>1996</c:v>
                </c:pt>
                <c:pt idx="8">
                  <c:v>2006</c:v>
                </c:pt>
              </c:numCache>
            </c:numRef>
          </c:cat>
          <c:val>
            <c:numRef>
              <c:f>'final-graphs'!$B$64:$J$64</c:f>
              <c:numCache>
                <c:formatCode>0</c:formatCode>
                <c:ptCount val="9"/>
                <c:pt idx="0">
                  <c:v>26834.791011759229</c:v>
                </c:pt>
                <c:pt idx="1">
                  <c:v>26490.755229557188</c:v>
                </c:pt>
                <c:pt idx="2">
                  <c:v>26462</c:v>
                </c:pt>
                <c:pt idx="3">
                  <c:v>32100</c:v>
                </c:pt>
                <c:pt idx="4">
                  <c:v>38174</c:v>
                </c:pt>
                <c:pt idx="5">
                  <c:v>39679</c:v>
                </c:pt>
                <c:pt idx="6">
                  <c:v>40758</c:v>
                </c:pt>
                <c:pt idx="7">
                  <c:v>41320</c:v>
                </c:pt>
                <c:pt idx="8">
                  <c:v>38988</c:v>
                </c:pt>
              </c:numCache>
            </c:numRef>
          </c:val>
          <c:smooth val="0"/>
        </c:ser>
        <c:ser>
          <c:idx val="3"/>
          <c:order val="3"/>
          <c:tx>
            <c:strRef>
              <c:f>'final-graphs'!$A$65</c:f>
              <c:strCache>
                <c:ptCount val="1"/>
                <c:pt idx="0">
                  <c:v>Dunedin</c:v>
                </c:pt>
              </c:strCache>
            </c:strRef>
          </c:tx>
          <c:marker>
            <c:symbol val="none"/>
          </c:marker>
          <c:cat>
            <c:numRef>
              <c:f>'final-graphs'!$B$61:$J$61</c:f>
              <c:numCache>
                <c:formatCode>General</c:formatCode>
                <c:ptCount val="9"/>
                <c:pt idx="0">
                  <c:v>1926</c:v>
                </c:pt>
                <c:pt idx="1">
                  <c:v>1936</c:v>
                </c:pt>
                <c:pt idx="2">
                  <c:v>1946</c:v>
                </c:pt>
                <c:pt idx="3">
                  <c:v>1956</c:v>
                </c:pt>
                <c:pt idx="4">
                  <c:v>1966</c:v>
                </c:pt>
                <c:pt idx="5">
                  <c:v>1976</c:v>
                </c:pt>
                <c:pt idx="6">
                  <c:v>1986</c:v>
                </c:pt>
                <c:pt idx="7">
                  <c:v>1996</c:v>
                </c:pt>
                <c:pt idx="8">
                  <c:v>2006</c:v>
                </c:pt>
              </c:numCache>
            </c:numRef>
          </c:cat>
          <c:val>
            <c:numRef>
              <c:f>'final-graphs'!$B$65:$J$65</c:f>
              <c:numCache>
                <c:formatCode>0</c:formatCode>
                <c:ptCount val="9"/>
                <c:pt idx="0">
                  <c:v>85266.677320864037</c:v>
                </c:pt>
                <c:pt idx="1">
                  <c:v>82118.634359486008</c:v>
                </c:pt>
                <c:pt idx="2">
                  <c:v>83351</c:v>
                </c:pt>
                <c:pt idx="3">
                  <c:v>99370</c:v>
                </c:pt>
                <c:pt idx="4">
                  <c:v>108734</c:v>
                </c:pt>
                <c:pt idx="5">
                  <c:v>113222</c:v>
                </c:pt>
                <c:pt idx="6">
                  <c:v>108864</c:v>
                </c:pt>
                <c:pt idx="7">
                  <c:v>112279</c:v>
                </c:pt>
                <c:pt idx="8">
                  <c:v>110997</c:v>
                </c:pt>
              </c:numCache>
            </c:numRef>
          </c:val>
          <c:smooth val="0"/>
        </c:ser>
        <c:ser>
          <c:idx val="4"/>
          <c:order val="4"/>
          <c:tx>
            <c:strRef>
              <c:f>'final-graphs'!$A$66</c:f>
              <c:strCache>
                <c:ptCount val="1"/>
                <c:pt idx="0">
                  <c:v>Christchurch</c:v>
                </c:pt>
              </c:strCache>
            </c:strRef>
          </c:tx>
          <c:marker>
            <c:symbol val="none"/>
          </c:marker>
          <c:cat>
            <c:numRef>
              <c:f>'final-graphs'!$B$61:$J$61</c:f>
              <c:numCache>
                <c:formatCode>General</c:formatCode>
                <c:ptCount val="9"/>
                <c:pt idx="0">
                  <c:v>1926</c:v>
                </c:pt>
                <c:pt idx="1">
                  <c:v>1936</c:v>
                </c:pt>
                <c:pt idx="2">
                  <c:v>1946</c:v>
                </c:pt>
                <c:pt idx="3">
                  <c:v>1956</c:v>
                </c:pt>
                <c:pt idx="4">
                  <c:v>1966</c:v>
                </c:pt>
                <c:pt idx="5">
                  <c:v>1976</c:v>
                </c:pt>
                <c:pt idx="6">
                  <c:v>1986</c:v>
                </c:pt>
                <c:pt idx="7">
                  <c:v>1996</c:v>
                </c:pt>
                <c:pt idx="8">
                  <c:v>2006</c:v>
                </c:pt>
              </c:numCache>
            </c:numRef>
          </c:cat>
          <c:val>
            <c:numRef>
              <c:f>'final-graphs'!$B$66:$J$66</c:f>
              <c:numCache>
                <c:formatCode>0</c:formatCode>
                <c:ptCount val="9"/>
                <c:pt idx="0">
                  <c:v>118785.61995052484</c:v>
                </c:pt>
                <c:pt idx="1">
                  <c:v>132981.74950190546</c:v>
                </c:pt>
                <c:pt idx="2">
                  <c:v>150047</c:v>
                </c:pt>
                <c:pt idx="3">
                  <c:v>193367</c:v>
                </c:pt>
                <c:pt idx="4">
                  <c:v>247248</c:v>
                </c:pt>
                <c:pt idx="5">
                  <c:v>295296</c:v>
                </c:pt>
                <c:pt idx="6">
                  <c:v>299373</c:v>
                </c:pt>
                <c:pt idx="7">
                  <c:v>331443</c:v>
                </c:pt>
                <c:pt idx="8">
                  <c:v>360768</c:v>
                </c:pt>
              </c:numCache>
            </c:numRef>
          </c:val>
          <c:smooth val="0"/>
        </c:ser>
        <c:ser>
          <c:idx val="5"/>
          <c:order val="5"/>
          <c:tx>
            <c:strRef>
              <c:f>'final-graphs'!$A$67</c:f>
              <c:strCache>
                <c:ptCount val="1"/>
                <c:pt idx="0">
                  <c:v>Wellington</c:v>
                </c:pt>
              </c:strCache>
            </c:strRef>
          </c:tx>
          <c:marker>
            <c:symbol val="none"/>
          </c:marker>
          <c:cat>
            <c:numRef>
              <c:f>'final-graphs'!$B$61:$J$61</c:f>
              <c:numCache>
                <c:formatCode>General</c:formatCode>
                <c:ptCount val="9"/>
                <c:pt idx="0">
                  <c:v>1926</c:v>
                </c:pt>
                <c:pt idx="1">
                  <c:v>1936</c:v>
                </c:pt>
                <c:pt idx="2">
                  <c:v>1946</c:v>
                </c:pt>
                <c:pt idx="3">
                  <c:v>1956</c:v>
                </c:pt>
                <c:pt idx="4">
                  <c:v>1966</c:v>
                </c:pt>
                <c:pt idx="5">
                  <c:v>1976</c:v>
                </c:pt>
                <c:pt idx="6">
                  <c:v>1986</c:v>
                </c:pt>
                <c:pt idx="7">
                  <c:v>1996</c:v>
                </c:pt>
                <c:pt idx="8">
                  <c:v>2006</c:v>
                </c:pt>
              </c:numCache>
            </c:numRef>
          </c:cat>
          <c:val>
            <c:numRef>
              <c:f>'final-graphs'!$B$67:$J$67</c:f>
              <c:numCache>
                <c:formatCode>0</c:formatCode>
                <c:ptCount val="9"/>
                <c:pt idx="0">
                  <c:v>122168.87465181058</c:v>
                </c:pt>
                <c:pt idx="1">
                  <c:v>151015.3662952646</c:v>
                </c:pt>
                <c:pt idx="2">
                  <c:v>173520</c:v>
                </c:pt>
                <c:pt idx="3">
                  <c:v>224350</c:v>
                </c:pt>
                <c:pt idx="4">
                  <c:v>282487</c:v>
                </c:pt>
                <c:pt idx="5">
                  <c:v>327414</c:v>
                </c:pt>
                <c:pt idx="6">
                  <c:v>325697</c:v>
                </c:pt>
                <c:pt idx="7">
                  <c:v>335468</c:v>
                </c:pt>
                <c:pt idx="8">
                  <c:v>360624</c:v>
                </c:pt>
              </c:numCache>
            </c:numRef>
          </c:val>
          <c:smooth val="0"/>
        </c:ser>
        <c:ser>
          <c:idx val="6"/>
          <c:order val="6"/>
          <c:tx>
            <c:strRef>
              <c:f>'final-graphs'!$A$68</c:f>
              <c:strCache>
                <c:ptCount val="1"/>
                <c:pt idx="0">
                  <c:v>Auckland</c:v>
                </c:pt>
              </c:strCache>
            </c:strRef>
          </c:tx>
          <c:marker>
            <c:symbol val="none"/>
          </c:marker>
          <c:cat>
            <c:numRef>
              <c:f>'final-graphs'!$B$61:$J$61</c:f>
              <c:numCache>
                <c:formatCode>General</c:formatCode>
                <c:ptCount val="9"/>
                <c:pt idx="0">
                  <c:v>1926</c:v>
                </c:pt>
                <c:pt idx="1">
                  <c:v>1936</c:v>
                </c:pt>
                <c:pt idx="2">
                  <c:v>1946</c:v>
                </c:pt>
                <c:pt idx="3">
                  <c:v>1956</c:v>
                </c:pt>
                <c:pt idx="4">
                  <c:v>1966</c:v>
                </c:pt>
                <c:pt idx="5">
                  <c:v>1976</c:v>
                </c:pt>
                <c:pt idx="6">
                  <c:v>1986</c:v>
                </c:pt>
                <c:pt idx="7">
                  <c:v>1996</c:v>
                </c:pt>
                <c:pt idx="8">
                  <c:v>2006</c:v>
                </c:pt>
              </c:numCache>
            </c:numRef>
          </c:cat>
          <c:val>
            <c:numRef>
              <c:f>'final-graphs'!$B$68:$J$68</c:f>
              <c:numCache>
                <c:formatCode>0</c:formatCode>
                <c:ptCount val="9"/>
                <c:pt idx="0">
                  <c:v>196636.66587997694</c:v>
                </c:pt>
                <c:pt idx="1">
                  <c:v>216183.55855873282</c:v>
                </c:pt>
                <c:pt idx="2">
                  <c:v>263370</c:v>
                </c:pt>
                <c:pt idx="3">
                  <c:v>381063</c:v>
                </c:pt>
                <c:pt idx="4">
                  <c:v>548293</c:v>
                </c:pt>
                <c:pt idx="5">
                  <c:v>742786</c:v>
                </c:pt>
                <c:pt idx="6">
                  <c:v>820754</c:v>
                </c:pt>
                <c:pt idx="7">
                  <c:v>997940</c:v>
                </c:pt>
                <c:pt idx="8">
                  <c:v>1208094</c:v>
                </c:pt>
              </c:numCache>
            </c:numRef>
          </c:val>
          <c:smooth val="0"/>
        </c:ser>
        <c:dLbls>
          <c:showLegendKey val="0"/>
          <c:showVal val="0"/>
          <c:showCatName val="0"/>
          <c:showSerName val="0"/>
          <c:showPercent val="0"/>
          <c:showBubbleSize val="0"/>
        </c:dLbls>
        <c:smooth val="0"/>
        <c:axId val="232601136"/>
        <c:axId val="232600744"/>
      </c:lineChart>
      <c:catAx>
        <c:axId val="232601136"/>
        <c:scaling>
          <c:orientation val="minMax"/>
        </c:scaling>
        <c:delete val="0"/>
        <c:axPos val="b"/>
        <c:numFmt formatCode="General" sourceLinked="1"/>
        <c:majorTickMark val="out"/>
        <c:minorTickMark val="none"/>
        <c:tickLblPos val="nextTo"/>
        <c:crossAx val="232600744"/>
        <c:crosses val="autoZero"/>
        <c:auto val="1"/>
        <c:lblAlgn val="ctr"/>
        <c:lblOffset val="100"/>
        <c:noMultiLvlLbl val="0"/>
      </c:catAx>
      <c:valAx>
        <c:axId val="232600744"/>
        <c:scaling>
          <c:orientation val="minMax"/>
        </c:scaling>
        <c:delete val="0"/>
        <c:axPos val="l"/>
        <c:majorGridlines/>
        <c:numFmt formatCode="0" sourceLinked="1"/>
        <c:majorTickMark val="out"/>
        <c:minorTickMark val="none"/>
        <c:tickLblPos val="nextTo"/>
        <c:crossAx val="232601136"/>
        <c:crosses val="autoZero"/>
        <c:crossBetween val="between"/>
      </c:valAx>
    </c:plotArea>
    <c:legend>
      <c:legendPos val="r"/>
      <c:overlay val="0"/>
    </c:legend>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11</xdr:col>
      <xdr:colOff>133350</xdr:colOff>
      <xdr:row>0</xdr:row>
      <xdr:rowOff>138112</xdr:rowOff>
    </xdr:from>
    <xdr:to>
      <xdr:col>18</xdr:col>
      <xdr:colOff>438150</xdr:colOff>
      <xdr:row>20</xdr:row>
      <xdr:rowOff>23812</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133350</xdr:colOff>
      <xdr:row>20</xdr:row>
      <xdr:rowOff>128587</xdr:rowOff>
    </xdr:from>
    <xdr:to>
      <xdr:col>18</xdr:col>
      <xdr:colOff>438150</xdr:colOff>
      <xdr:row>40</xdr:row>
      <xdr:rowOff>14287</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161925</xdr:colOff>
      <xdr:row>40</xdr:row>
      <xdr:rowOff>71437</xdr:rowOff>
    </xdr:from>
    <xdr:to>
      <xdr:col>18</xdr:col>
      <xdr:colOff>466725</xdr:colOff>
      <xdr:row>59</xdr:row>
      <xdr:rowOff>100012</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152400</xdr:colOff>
      <xdr:row>60</xdr:row>
      <xdr:rowOff>61912</xdr:rowOff>
    </xdr:from>
    <xdr:to>
      <xdr:col>18</xdr:col>
      <xdr:colOff>457200</xdr:colOff>
      <xdr:row>77</xdr:row>
      <xdr:rowOff>90487</xdr:rowOff>
    </xdr:to>
    <xdr:graphicFrame macro="">
      <xdr:nvGraphicFramePr>
        <xdr:cNvPr id="6" name="Chart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11</xdr:col>
      <xdr:colOff>161925</xdr:colOff>
      <xdr:row>77</xdr:row>
      <xdr:rowOff>157162</xdr:rowOff>
    </xdr:from>
    <xdr:to>
      <xdr:col>18</xdr:col>
      <xdr:colOff>466725</xdr:colOff>
      <xdr:row>92</xdr:row>
      <xdr:rowOff>42862</xdr:rowOff>
    </xdr:to>
    <xdr:graphicFrame macro="">
      <xdr:nvGraphicFramePr>
        <xdr:cNvPr id="7" name="Chart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11</xdr:col>
      <xdr:colOff>152400</xdr:colOff>
      <xdr:row>92</xdr:row>
      <xdr:rowOff>138112</xdr:rowOff>
    </xdr:from>
    <xdr:to>
      <xdr:col>18</xdr:col>
      <xdr:colOff>457200</xdr:colOff>
      <xdr:row>107</xdr:row>
      <xdr:rowOff>23812</xdr:rowOff>
    </xdr:to>
    <xdr:graphicFrame macro="">
      <xdr:nvGraphicFramePr>
        <xdr:cNvPr id="8" name="Chart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15"/>
  <sheetViews>
    <sheetView tabSelected="1" workbookViewId="0">
      <selection activeCell="A23" sqref="A23"/>
    </sheetView>
  </sheetViews>
  <sheetFormatPr defaultRowHeight="15" x14ac:dyDescent="0.25"/>
  <cols>
    <col min="1" max="1" width="146.140625" style="49" customWidth="1"/>
    <col min="2" max="16384" width="9.140625" style="20"/>
  </cols>
  <sheetData>
    <row r="2" spans="1:1" s="60" customFormat="1" ht="30" x14ac:dyDescent="0.25">
      <c r="A2" s="61" t="s">
        <v>512</v>
      </c>
    </row>
    <row r="4" spans="1:1" ht="30" x14ac:dyDescent="0.25">
      <c r="A4" s="49" t="s">
        <v>513</v>
      </c>
    </row>
    <row r="5" spans="1:1" ht="30" x14ac:dyDescent="0.25">
      <c r="A5" s="71" t="s">
        <v>514</v>
      </c>
    </row>
    <row r="7" spans="1:1" x14ac:dyDescent="0.25">
      <c r="A7" s="49" t="s">
        <v>107</v>
      </c>
    </row>
    <row r="8" spans="1:1" x14ac:dyDescent="0.25">
      <c r="A8" s="49" t="s">
        <v>108</v>
      </c>
    </row>
    <row r="9" spans="1:1" x14ac:dyDescent="0.25">
      <c r="A9" s="49" t="s">
        <v>104</v>
      </c>
    </row>
    <row r="10" spans="1:1" x14ac:dyDescent="0.25">
      <c r="A10" s="49" t="s">
        <v>105</v>
      </c>
    </row>
    <row r="11" spans="1:1" x14ac:dyDescent="0.25">
      <c r="A11" t="s">
        <v>515</v>
      </c>
    </row>
    <row r="12" spans="1:1" x14ac:dyDescent="0.25">
      <c r="A12" t="s">
        <v>516</v>
      </c>
    </row>
    <row r="15" spans="1:1" ht="30" x14ac:dyDescent="0.25">
      <c r="A15" s="49" t="s">
        <v>106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1"/>
  <sheetViews>
    <sheetView workbookViewId="0">
      <selection activeCell="B67" sqref="B67"/>
    </sheetView>
  </sheetViews>
  <sheetFormatPr defaultRowHeight="11.25" x14ac:dyDescent="0.2"/>
  <cols>
    <col min="1" max="1" width="13.42578125" style="10" customWidth="1"/>
    <col min="2" max="10" width="8.7109375" style="11" customWidth="1"/>
    <col min="11" max="16384" width="9.140625" style="11"/>
  </cols>
  <sheetData>
    <row r="1" spans="1:10" s="10" customFormat="1" x14ac:dyDescent="0.2">
      <c r="A1" s="10" t="s">
        <v>87</v>
      </c>
      <c r="B1" s="10">
        <v>1926</v>
      </c>
      <c r="C1" s="10">
        <v>1936</v>
      </c>
      <c r="D1" s="10">
        <v>1946</v>
      </c>
      <c r="E1" s="10">
        <v>1956</v>
      </c>
      <c r="F1" s="10">
        <v>1966</v>
      </c>
      <c r="G1" s="10">
        <v>1976</v>
      </c>
      <c r="H1" s="10">
        <v>1986</v>
      </c>
      <c r="I1" s="10">
        <v>1996</v>
      </c>
      <c r="J1" s="10">
        <v>2006</v>
      </c>
    </row>
    <row r="2" spans="1:10" x14ac:dyDescent="0.2">
      <c r="A2" s="11" t="s">
        <v>0</v>
      </c>
      <c r="B2" s="12">
        <v>6384.8631353325563</v>
      </c>
      <c r="C2" s="12">
        <v>7287.6701474462889</v>
      </c>
      <c r="D2" s="12">
        <v>9289</v>
      </c>
      <c r="E2" s="12">
        <v>13363</v>
      </c>
      <c r="F2" s="12">
        <v>29503</v>
      </c>
      <c r="G2" s="12">
        <v>39069</v>
      </c>
      <c r="H2" s="12">
        <v>44043</v>
      </c>
      <c r="I2" s="12">
        <v>45785</v>
      </c>
      <c r="J2" s="12">
        <v>49080</v>
      </c>
    </row>
    <row r="3" spans="1:10" x14ac:dyDescent="0.2">
      <c r="A3" s="11" t="s">
        <v>1</v>
      </c>
      <c r="B3" s="12">
        <v>196636.66587997694</v>
      </c>
      <c r="C3" s="12">
        <v>216183.55855873282</v>
      </c>
      <c r="D3" s="12">
        <v>263370</v>
      </c>
      <c r="E3" s="12">
        <v>381063</v>
      </c>
      <c r="F3" s="12">
        <v>548293</v>
      </c>
      <c r="G3" s="12">
        <v>742786</v>
      </c>
      <c r="H3" s="12">
        <v>820754</v>
      </c>
      <c r="I3" s="12">
        <v>997940</v>
      </c>
      <c r="J3" s="12">
        <v>1208094</v>
      </c>
    </row>
    <row r="4" spans="1:10" x14ac:dyDescent="0.2">
      <c r="A4" s="13" t="s">
        <v>2</v>
      </c>
      <c r="B4" s="12">
        <v>3457.6072768868512</v>
      </c>
      <c r="C4" s="12">
        <v>3800.8201361877136</v>
      </c>
      <c r="D4" s="12">
        <v>4867.0256437539902</v>
      </c>
      <c r="E4" s="12">
        <v>6896.7915513939133</v>
      </c>
      <c r="F4" s="12">
        <v>9629.6213024047665</v>
      </c>
      <c r="G4" s="12">
        <v>12899.309427537773</v>
      </c>
      <c r="H4" s="14">
        <v>13823</v>
      </c>
      <c r="I4" s="14">
        <v>16267.19514429684</v>
      </c>
      <c r="J4" s="14">
        <v>22518</v>
      </c>
    </row>
    <row r="5" spans="1:10" x14ac:dyDescent="0.2">
      <c r="A5" s="11" t="s">
        <v>3</v>
      </c>
      <c r="B5" s="12">
        <v>23173.816978838771</v>
      </c>
      <c r="C5" s="12">
        <v>28219.880371695446</v>
      </c>
      <c r="D5" s="12">
        <v>36937.739577693559</v>
      </c>
      <c r="E5" s="12">
        <v>56204.030319436926</v>
      </c>
      <c r="F5" s="12">
        <v>87749.795343800753</v>
      </c>
      <c r="G5" s="12">
        <v>127306.72495939361</v>
      </c>
      <c r="H5" s="17">
        <v>138645</v>
      </c>
      <c r="I5" s="12">
        <v>159234</v>
      </c>
      <c r="J5" s="12">
        <v>184908</v>
      </c>
    </row>
    <row r="6" spans="1:10" x14ac:dyDescent="0.2">
      <c r="A6" s="11" t="s">
        <v>4</v>
      </c>
      <c r="B6" s="12">
        <v>2684.5126354238005</v>
      </c>
      <c r="C6" s="12">
        <v>3616.7240637153586</v>
      </c>
      <c r="D6" s="12">
        <v>4944.686464204593</v>
      </c>
      <c r="E6" s="12">
        <v>10044.681416673677</v>
      </c>
      <c r="F6" s="12">
        <v>33166.757297888449</v>
      </c>
      <c r="G6" s="12">
        <v>50530.875914864977</v>
      </c>
      <c r="H6" s="17">
        <v>62370</v>
      </c>
      <c r="I6" s="12">
        <v>82832</v>
      </c>
      <c r="J6" s="12">
        <v>108882</v>
      </c>
    </row>
    <row r="7" spans="1:10" x14ac:dyDescent="0.2">
      <c r="A7" s="11" t="s">
        <v>5</v>
      </c>
      <c r="B7" s="12">
        <v>4211.7455771825016</v>
      </c>
      <c r="C7" s="12">
        <v>6645.7865099248411</v>
      </c>
      <c r="D7" s="12">
        <v>7512</v>
      </c>
      <c r="E7" s="12">
        <v>12302</v>
      </c>
      <c r="F7" s="12">
        <v>33229</v>
      </c>
      <c r="G7" s="12">
        <v>46650</v>
      </c>
      <c r="H7" s="12">
        <v>48855</v>
      </c>
      <c r="I7" s="12">
        <v>52956</v>
      </c>
      <c r="J7" s="12">
        <v>53766</v>
      </c>
    </row>
    <row r="8" spans="1:10" x14ac:dyDescent="0.2">
      <c r="A8" s="11" t="s">
        <v>6</v>
      </c>
      <c r="B8" s="12"/>
      <c r="C8" s="12"/>
      <c r="D8" s="12"/>
      <c r="E8" s="12">
        <v>3133.4871794871792</v>
      </c>
      <c r="F8" s="12">
        <v>8041.0406350406347</v>
      </c>
      <c r="G8" s="12">
        <v>14185.931077931076</v>
      </c>
      <c r="H8" s="14">
        <v>17458</v>
      </c>
      <c r="I8" s="14">
        <v>21044</v>
      </c>
      <c r="J8" s="14">
        <v>21291</v>
      </c>
    </row>
    <row r="9" spans="1:10" x14ac:dyDescent="0.2">
      <c r="A9" s="11" t="s">
        <v>7</v>
      </c>
      <c r="B9" s="12">
        <v>15637.803736577494</v>
      </c>
      <c r="C9" s="12">
        <v>16745.753832785053</v>
      </c>
      <c r="D9" s="12">
        <v>16984</v>
      </c>
      <c r="E9" s="12">
        <v>22622</v>
      </c>
      <c r="F9" s="12">
        <v>27804</v>
      </c>
      <c r="G9" s="12">
        <v>31790</v>
      </c>
      <c r="H9" s="12">
        <v>32238</v>
      </c>
      <c r="I9" s="12">
        <v>32653</v>
      </c>
      <c r="J9" s="12">
        <v>32529</v>
      </c>
    </row>
    <row r="10" spans="1:10" x14ac:dyDescent="0.2">
      <c r="A10" s="11" t="s">
        <v>8</v>
      </c>
      <c r="B10" s="12">
        <v>18363.659805257052</v>
      </c>
      <c r="C10" s="12">
        <v>19137.815095101156</v>
      </c>
      <c r="D10" s="12">
        <v>20297</v>
      </c>
      <c r="E10" s="12">
        <v>27507</v>
      </c>
      <c r="F10" s="12">
        <v>38309</v>
      </c>
      <c r="G10" s="12">
        <v>50164</v>
      </c>
      <c r="H10" s="12">
        <v>52151</v>
      </c>
      <c r="I10" s="12">
        <v>55044</v>
      </c>
      <c r="J10" s="12">
        <v>56286</v>
      </c>
    </row>
    <row r="11" spans="1:10" x14ac:dyDescent="0.2">
      <c r="A11" s="11" t="s">
        <v>9</v>
      </c>
      <c r="B11" s="12">
        <v>15571.388732404585</v>
      </c>
      <c r="C11" s="12">
        <v>19106.279069730754</v>
      </c>
      <c r="D11" s="12">
        <v>20999.780363874772</v>
      </c>
      <c r="E11" s="12">
        <v>28702.454351745615</v>
      </c>
      <c r="F11" s="12">
        <v>38700.333060154073</v>
      </c>
      <c r="G11" s="12">
        <v>52488.088510080313</v>
      </c>
      <c r="H11" s="18">
        <v>56717.999999999993</v>
      </c>
      <c r="I11" s="12">
        <v>58675</v>
      </c>
      <c r="J11" s="12">
        <v>62118</v>
      </c>
    </row>
    <row r="12" spans="1:10" x14ac:dyDescent="0.2">
      <c r="A12" s="11" t="s">
        <v>10</v>
      </c>
      <c r="B12" s="12">
        <v>16263.39393939394</v>
      </c>
      <c r="C12" s="12">
        <v>18898.108655890061</v>
      </c>
      <c r="D12" s="12">
        <v>20642</v>
      </c>
      <c r="E12" s="12">
        <v>28292</v>
      </c>
      <c r="F12" s="12">
        <v>35280</v>
      </c>
      <c r="G12" s="12">
        <v>43914</v>
      </c>
      <c r="H12" s="12">
        <v>47384</v>
      </c>
      <c r="I12" s="12">
        <v>49306</v>
      </c>
      <c r="J12" s="12">
        <v>49281</v>
      </c>
    </row>
    <row r="13" spans="1:10" x14ac:dyDescent="0.2">
      <c r="A13" s="11" t="s">
        <v>11</v>
      </c>
      <c r="B13" s="12">
        <v>26834.791011759229</v>
      </c>
      <c r="C13" s="12">
        <v>26490.755229557188</v>
      </c>
      <c r="D13" s="12">
        <v>26462</v>
      </c>
      <c r="E13" s="12">
        <v>32100</v>
      </c>
      <c r="F13" s="12">
        <v>38174</v>
      </c>
      <c r="G13" s="12">
        <v>39679</v>
      </c>
      <c r="H13" s="12">
        <v>40758</v>
      </c>
      <c r="I13" s="12">
        <v>41320</v>
      </c>
      <c r="J13" s="12">
        <v>38988</v>
      </c>
    </row>
    <row r="14" spans="1:10" x14ac:dyDescent="0.2">
      <c r="A14" s="11" t="s">
        <v>12</v>
      </c>
      <c r="B14" s="12">
        <v>19902.021926100922</v>
      </c>
      <c r="C14" s="12">
        <v>24247.340371341037</v>
      </c>
      <c r="D14" s="12">
        <v>27294</v>
      </c>
      <c r="E14" s="12">
        <v>37775</v>
      </c>
      <c r="F14" s="12">
        <v>49140</v>
      </c>
      <c r="G14" s="12">
        <v>63873</v>
      </c>
      <c r="H14" s="12">
        <v>67405</v>
      </c>
      <c r="I14" s="12">
        <v>73862</v>
      </c>
      <c r="J14" s="12">
        <v>76032</v>
      </c>
    </row>
    <row r="15" spans="1:10" x14ac:dyDescent="0.2">
      <c r="A15" s="13" t="s">
        <v>13</v>
      </c>
      <c r="B15" s="12">
        <v>8188</v>
      </c>
      <c r="C15" s="12">
        <v>9164</v>
      </c>
      <c r="D15" s="12">
        <v>9535</v>
      </c>
      <c r="E15" s="12">
        <v>13000</v>
      </c>
      <c r="F15" s="12">
        <v>17596</v>
      </c>
      <c r="G15" s="12">
        <v>21001</v>
      </c>
      <c r="H15" s="14">
        <v>19353</v>
      </c>
      <c r="I15" s="14">
        <v>19686</v>
      </c>
      <c r="J15" s="14">
        <v>19497</v>
      </c>
    </row>
    <row r="16" spans="1:10" x14ac:dyDescent="0.2">
      <c r="A16" s="13" t="s">
        <v>14</v>
      </c>
      <c r="B16" s="12"/>
      <c r="C16" s="12"/>
      <c r="D16" s="12"/>
      <c r="E16" s="12"/>
      <c r="F16" s="12"/>
      <c r="G16" s="12">
        <v>14973</v>
      </c>
      <c r="H16" s="14">
        <v>23203</v>
      </c>
      <c r="I16" s="12">
        <v>30004</v>
      </c>
      <c r="J16" s="14">
        <v>37347</v>
      </c>
    </row>
    <row r="17" spans="1:10" x14ac:dyDescent="0.2">
      <c r="A17" s="11" t="s">
        <v>15</v>
      </c>
      <c r="B17" s="12">
        <v>122168.87465181058</v>
      </c>
      <c r="C17" s="12">
        <v>151015.3662952646</v>
      </c>
      <c r="D17" s="12">
        <v>173520</v>
      </c>
      <c r="E17" s="12">
        <v>224350</v>
      </c>
      <c r="F17" s="12">
        <v>282487</v>
      </c>
      <c r="G17" s="12">
        <v>327414</v>
      </c>
      <c r="H17" s="12">
        <v>325697</v>
      </c>
      <c r="I17" s="12">
        <v>335468</v>
      </c>
      <c r="J17" s="12">
        <v>360624</v>
      </c>
    </row>
    <row r="18" spans="1:10" x14ac:dyDescent="0.2">
      <c r="A18" s="11" t="s">
        <v>16</v>
      </c>
      <c r="B18" s="12">
        <v>11829.07686707517</v>
      </c>
      <c r="C18" s="12">
        <v>13661.467451313476</v>
      </c>
      <c r="D18" s="12">
        <v>16577</v>
      </c>
      <c r="E18" s="12">
        <v>22503</v>
      </c>
      <c r="F18" s="12">
        <v>27615</v>
      </c>
      <c r="G18" s="12">
        <v>42433</v>
      </c>
      <c r="H18" s="12">
        <v>44593</v>
      </c>
      <c r="I18" s="12">
        <v>50691</v>
      </c>
      <c r="J18" s="12">
        <v>56367</v>
      </c>
    </row>
    <row r="19" spans="1:10" x14ac:dyDescent="0.2">
      <c r="A19" s="13" t="s">
        <v>17</v>
      </c>
      <c r="B19" s="12">
        <v>6212.1687967161724</v>
      </c>
      <c r="C19" s="12">
        <v>6274.4649138112009</v>
      </c>
      <c r="D19" s="12">
        <v>7160.5953681450737</v>
      </c>
      <c r="E19" s="12">
        <v>11421.02572645838</v>
      </c>
      <c r="F19" s="12">
        <v>16404.948765566965</v>
      </c>
      <c r="G19" s="12">
        <v>21253.836355691503</v>
      </c>
      <c r="H19" s="14">
        <v>22681</v>
      </c>
      <c r="I19" s="14">
        <v>25875</v>
      </c>
      <c r="J19" s="14">
        <v>28527</v>
      </c>
    </row>
    <row r="20" spans="1:10" x14ac:dyDescent="0.2">
      <c r="A20" s="11" t="s">
        <v>18</v>
      </c>
      <c r="B20" s="12">
        <v>118785.61995052484</v>
      </c>
      <c r="C20" s="12">
        <v>132981.74950190546</v>
      </c>
      <c r="D20" s="12">
        <v>150047</v>
      </c>
      <c r="E20" s="12">
        <v>193367</v>
      </c>
      <c r="F20" s="12">
        <v>247248</v>
      </c>
      <c r="G20" s="12">
        <v>295296</v>
      </c>
      <c r="H20" s="12">
        <v>299373</v>
      </c>
      <c r="I20" s="12">
        <v>331443</v>
      </c>
      <c r="J20" s="12">
        <v>360768</v>
      </c>
    </row>
    <row r="21" spans="1:10" x14ac:dyDescent="0.2">
      <c r="A21" s="11" t="s">
        <v>19</v>
      </c>
      <c r="B21" s="12">
        <v>16840.202974091673</v>
      </c>
      <c r="C21" s="12">
        <v>18839.958301395061</v>
      </c>
      <c r="D21" s="12">
        <v>19596</v>
      </c>
      <c r="E21" s="12">
        <v>24694</v>
      </c>
      <c r="F21" s="12">
        <v>27946</v>
      </c>
      <c r="G21" s="12">
        <v>29958</v>
      </c>
      <c r="H21" s="12">
        <v>28621</v>
      </c>
      <c r="I21" s="12">
        <v>27521</v>
      </c>
      <c r="J21" s="12">
        <v>26886</v>
      </c>
    </row>
    <row r="22" spans="1:10" x14ac:dyDescent="0.2">
      <c r="A22" s="11" t="s">
        <v>20</v>
      </c>
      <c r="B22" s="12">
        <v>85266.677320864037</v>
      </c>
      <c r="C22" s="12">
        <v>82118.634359486008</v>
      </c>
      <c r="D22" s="12">
        <v>83351</v>
      </c>
      <c r="E22" s="12">
        <v>99370</v>
      </c>
      <c r="F22" s="12">
        <v>108734</v>
      </c>
      <c r="G22" s="12">
        <v>113222</v>
      </c>
      <c r="H22" s="12">
        <v>108864</v>
      </c>
      <c r="I22" s="12">
        <v>112279</v>
      </c>
      <c r="J22" s="12">
        <v>110997</v>
      </c>
    </row>
    <row r="23" spans="1:10" x14ac:dyDescent="0.2">
      <c r="A23" s="11" t="s">
        <v>21</v>
      </c>
      <c r="B23" s="12">
        <v>21956.726842411888</v>
      </c>
      <c r="C23" s="12">
        <v>25883.668657151182</v>
      </c>
      <c r="D23" s="12">
        <v>27583</v>
      </c>
      <c r="E23" s="12">
        <v>35107</v>
      </c>
      <c r="F23" s="12">
        <v>46016</v>
      </c>
      <c r="G23" s="12">
        <v>53762</v>
      </c>
      <c r="H23" s="14">
        <v>52807</v>
      </c>
      <c r="I23" s="12">
        <v>49306</v>
      </c>
      <c r="J23" s="12">
        <v>46773</v>
      </c>
    </row>
    <row r="24" spans="1:10" x14ac:dyDescent="0.2">
      <c r="A24" s="13" t="s">
        <v>22</v>
      </c>
      <c r="B24" s="12">
        <v>2936.2216366182956</v>
      </c>
      <c r="C24" s="12">
        <v>3304.1816723672437</v>
      </c>
      <c r="D24" s="12">
        <v>4021.1581207704321</v>
      </c>
      <c r="E24" s="12">
        <v>8005.3003643935454</v>
      </c>
      <c r="F24" s="12">
        <v>14068.501041124415</v>
      </c>
      <c r="G24" s="12">
        <v>18210.577693909421</v>
      </c>
      <c r="H24" s="14">
        <v>18962</v>
      </c>
      <c r="I24" s="12">
        <v>19357.533623910338</v>
      </c>
      <c r="J24" s="12">
        <v>19171.573785803237</v>
      </c>
    </row>
    <row r="25" spans="1:10" x14ac:dyDescent="0.2">
      <c r="A25" s="13" t="s">
        <v>23</v>
      </c>
      <c r="B25" s="12"/>
      <c r="C25" s="12"/>
      <c r="D25" s="12"/>
      <c r="E25" s="12"/>
      <c r="F25" s="12"/>
      <c r="G25" s="12">
        <v>19232.275641025644</v>
      </c>
      <c r="H25" s="14">
        <v>18193</v>
      </c>
      <c r="I25" s="12">
        <v>15110.124744027302</v>
      </c>
      <c r="J25" s="12">
        <v>12356.337883959044</v>
      </c>
    </row>
    <row r="26" spans="1:10" x14ac:dyDescent="0.2">
      <c r="A26" s="13" t="s">
        <v>24</v>
      </c>
      <c r="B26" s="12">
        <v>1343.1998458277126</v>
      </c>
      <c r="C26" s="12">
        <v>1763.4585854692621</v>
      </c>
      <c r="D26" s="14">
        <v>2806</v>
      </c>
      <c r="E26" s="14">
        <v>5445</v>
      </c>
      <c r="F26" s="14">
        <v>8637</v>
      </c>
      <c r="G26" s="14">
        <v>11542</v>
      </c>
      <c r="H26" s="14">
        <v>15954</v>
      </c>
      <c r="I26" s="12">
        <v>16944.576716417909</v>
      </c>
      <c r="J26" s="12">
        <v>17554.1623880597</v>
      </c>
    </row>
    <row r="27" spans="1:10" x14ac:dyDescent="0.2">
      <c r="A27" s="13" t="s">
        <v>25</v>
      </c>
      <c r="B27" s="12">
        <v>5522.8304174635523</v>
      </c>
      <c r="C27" s="12">
        <v>6177.1787566316416</v>
      </c>
      <c r="D27" s="12">
        <v>8195.2209550962216</v>
      </c>
      <c r="E27" s="12">
        <v>11045.638203848896</v>
      </c>
      <c r="F27" s="12">
        <v>13754.945687811833</v>
      </c>
      <c r="G27" s="12">
        <v>15440.664647184605</v>
      </c>
      <c r="H27" s="14">
        <v>15229</v>
      </c>
      <c r="I27" s="12">
        <v>15244.367305751764</v>
      </c>
      <c r="J27" s="12">
        <v>16240.168718466195</v>
      </c>
    </row>
    <row r="28" spans="1:10" x14ac:dyDescent="0.2">
      <c r="A28" s="13" t="s">
        <v>26</v>
      </c>
      <c r="B28" s="12">
        <v>7891.9882454664112</v>
      </c>
      <c r="C28" s="12">
        <v>8447.0787696650495</v>
      </c>
      <c r="D28" s="12">
        <v>8424.1074138476124</v>
      </c>
      <c r="E28" s="12">
        <v>11036.582911792602</v>
      </c>
      <c r="F28" s="12">
        <v>14848.319791337337</v>
      </c>
      <c r="G28" s="12">
        <v>15179.383496680366</v>
      </c>
      <c r="H28" s="14">
        <v>14247</v>
      </c>
      <c r="I28" s="12">
        <v>13464.811764705881</v>
      </c>
      <c r="J28" s="12">
        <v>12383.551557093424</v>
      </c>
    </row>
    <row r="29" spans="1:10" x14ac:dyDescent="0.2">
      <c r="A29" s="13" t="s">
        <v>27</v>
      </c>
      <c r="B29" s="12">
        <v>4532.7980071178126</v>
      </c>
      <c r="C29" s="12">
        <v>4843.6427741629986</v>
      </c>
      <c r="D29" s="12">
        <v>5284.1533509409046</v>
      </c>
      <c r="E29" s="12">
        <v>7168.1056454275331</v>
      </c>
      <c r="F29" s="12">
        <v>9542.3293166061394</v>
      </c>
      <c r="G29" s="12">
        <v>11509.754539451964</v>
      </c>
      <c r="H29" s="14">
        <v>12802</v>
      </c>
      <c r="I29" s="12">
        <v>13758.165975103735</v>
      </c>
      <c r="J29" s="12">
        <v>13389.448376861119</v>
      </c>
    </row>
    <row r="30" spans="1:10" x14ac:dyDescent="0.2">
      <c r="A30" s="13" t="s">
        <v>28</v>
      </c>
      <c r="B30" s="12">
        <v>4592.8934697711211</v>
      </c>
      <c r="C30" s="12">
        <v>4758.2008996984532</v>
      </c>
      <c r="D30" s="14">
        <v>4840</v>
      </c>
      <c r="E30" s="14">
        <v>5620</v>
      </c>
      <c r="F30" s="14">
        <v>8142</v>
      </c>
      <c r="G30" s="14">
        <v>8506</v>
      </c>
      <c r="H30" s="14">
        <v>11375</v>
      </c>
      <c r="I30" s="12">
        <v>10983.72235872236</v>
      </c>
      <c r="J30" s="12">
        <v>9977.5798525798527</v>
      </c>
    </row>
    <row r="31" spans="1:10" x14ac:dyDescent="0.2">
      <c r="A31" s="13" t="s">
        <v>29</v>
      </c>
      <c r="B31" s="12">
        <v>8349.8242611835321</v>
      </c>
      <c r="C31" s="12">
        <v>12054.585283669161</v>
      </c>
      <c r="D31" s="12">
        <v>12370.261673662118</v>
      </c>
      <c r="E31" s="12">
        <v>13216.609129066106</v>
      </c>
      <c r="F31" s="12">
        <v>12782.357555089191</v>
      </c>
      <c r="G31" s="12">
        <v>12232.896379853095</v>
      </c>
      <c r="H31" s="14">
        <v>11261</v>
      </c>
      <c r="I31" s="12">
        <v>10652.051654560129</v>
      </c>
      <c r="J31" s="12">
        <v>9994.6298089857428</v>
      </c>
    </row>
    <row r="32" spans="1:10" x14ac:dyDescent="0.2">
      <c r="A32" s="13" t="s">
        <v>30</v>
      </c>
      <c r="B32" s="12">
        <v>5146.6903863731477</v>
      </c>
      <c r="C32" s="12">
        <v>6093.2081585797032</v>
      </c>
      <c r="D32" s="12">
        <v>6544.6823365138471</v>
      </c>
      <c r="E32" s="12">
        <v>8595.7857807772871</v>
      </c>
      <c r="F32" s="12">
        <v>10607.621131021644</v>
      </c>
      <c r="G32" s="12">
        <v>12014.727833372121</v>
      </c>
      <c r="H32" s="14">
        <v>11249</v>
      </c>
      <c r="I32" s="12">
        <v>10546.123643102992</v>
      </c>
      <c r="J32" s="12">
        <v>9622.8538522637009</v>
      </c>
    </row>
    <row r="33" spans="1:10" x14ac:dyDescent="0.2">
      <c r="A33" s="13" t="s">
        <v>31</v>
      </c>
      <c r="B33" s="12">
        <v>1958.4594551722269</v>
      </c>
      <c r="C33" s="12">
        <v>2217.2777182386917</v>
      </c>
      <c r="D33" s="12">
        <v>2370</v>
      </c>
      <c r="E33" s="14">
        <v>3306</v>
      </c>
      <c r="F33" s="14">
        <v>3902</v>
      </c>
      <c r="G33" s="14">
        <v>4559</v>
      </c>
      <c r="H33" s="14">
        <v>4859</v>
      </c>
      <c r="I33" s="12">
        <v>4469.6364238410597</v>
      </c>
      <c r="J33" s="12">
        <v>4228.2953642384109</v>
      </c>
    </row>
    <row r="34" spans="1:10" x14ac:dyDescent="0.2">
      <c r="A34" s="11" t="s">
        <v>32</v>
      </c>
      <c r="B34" s="12">
        <v>1745.1422239352478</v>
      </c>
      <c r="C34" s="12">
        <v>1976.1318943919832</v>
      </c>
      <c r="D34" s="12">
        <v>2870</v>
      </c>
      <c r="E34" s="12">
        <v>4187</v>
      </c>
      <c r="F34" s="12">
        <v>5401</v>
      </c>
      <c r="G34" s="12">
        <v>5559</v>
      </c>
      <c r="H34" s="14">
        <v>6750</v>
      </c>
      <c r="I34" s="12">
        <v>6062.6331487004691</v>
      </c>
      <c r="J34" s="12">
        <v>5651.3634426927993</v>
      </c>
    </row>
    <row r="35" spans="1:10" x14ac:dyDescent="0.2">
      <c r="A35" s="11" t="s">
        <v>33</v>
      </c>
      <c r="B35" s="12">
        <v>2056.5203700134903</v>
      </c>
      <c r="C35" s="12">
        <v>2241.7191366351899</v>
      </c>
      <c r="D35" s="12">
        <v>2567</v>
      </c>
      <c r="E35" s="12">
        <v>3408</v>
      </c>
      <c r="F35" s="12">
        <v>5962</v>
      </c>
      <c r="G35" s="12">
        <v>7841</v>
      </c>
      <c r="H35" s="14">
        <v>10145</v>
      </c>
      <c r="I35" s="12">
        <v>11417.600256657042</v>
      </c>
      <c r="J35" s="12">
        <v>12546.992300288741</v>
      </c>
    </row>
    <row r="36" spans="1:10" x14ac:dyDescent="0.2">
      <c r="A36" s="11" t="s">
        <v>34</v>
      </c>
      <c r="B36" s="12">
        <v>1657.6307188282906</v>
      </c>
      <c r="C36" s="12">
        <v>2263.0882250915397</v>
      </c>
      <c r="D36" s="12">
        <v>3017</v>
      </c>
      <c r="E36" s="12">
        <v>4614</v>
      </c>
      <c r="F36" s="12">
        <v>6719</v>
      </c>
      <c r="G36" s="12">
        <v>7619</v>
      </c>
      <c r="H36" s="14">
        <v>8096</v>
      </c>
      <c r="I36" s="12">
        <v>8766.5276073619625</v>
      </c>
      <c r="J36" s="12">
        <v>9229.067484662577</v>
      </c>
    </row>
    <row r="37" spans="1:10" x14ac:dyDescent="0.2">
      <c r="A37" s="13" t="s">
        <v>35</v>
      </c>
      <c r="B37" s="12">
        <v>2362.8106378878397</v>
      </c>
      <c r="C37" s="12">
        <v>2542.9215263056467</v>
      </c>
      <c r="D37" s="12">
        <v>2720</v>
      </c>
      <c r="E37" s="14">
        <v>3781</v>
      </c>
      <c r="F37" s="14">
        <v>4825</v>
      </c>
      <c r="G37" s="14">
        <v>4840</v>
      </c>
      <c r="H37" s="14">
        <v>4521</v>
      </c>
      <c r="I37" s="14">
        <v>4299</v>
      </c>
      <c r="J37" s="14">
        <v>3885</v>
      </c>
    </row>
    <row r="38" spans="1:10" x14ac:dyDescent="0.2">
      <c r="A38" s="11" t="s">
        <v>36</v>
      </c>
      <c r="B38" s="12">
        <v>2333.6919274309162</v>
      </c>
      <c r="C38" s="12">
        <v>2693.8988580750411</v>
      </c>
      <c r="D38" s="12">
        <v>2706</v>
      </c>
      <c r="E38" s="12">
        <v>3344</v>
      </c>
      <c r="F38" s="12">
        <v>5864</v>
      </c>
      <c r="G38" s="12">
        <v>6479</v>
      </c>
      <c r="H38" s="14">
        <v>6387</v>
      </c>
      <c r="I38" s="14">
        <v>5613.1053412462907</v>
      </c>
      <c r="J38" s="12">
        <v>4573.8753709198809</v>
      </c>
    </row>
    <row r="39" spans="1:10" x14ac:dyDescent="0.2">
      <c r="A39" s="11" t="s">
        <v>38</v>
      </c>
      <c r="B39" s="12">
        <v>3782.3286567739451</v>
      </c>
      <c r="C39" s="12">
        <v>3984.8262092888804</v>
      </c>
      <c r="D39" s="12">
        <v>3756</v>
      </c>
      <c r="E39" s="12">
        <v>3075</v>
      </c>
      <c r="F39" s="12">
        <v>3169</v>
      </c>
      <c r="G39" s="12">
        <v>3415</v>
      </c>
      <c r="H39" s="14">
        <v>3679</v>
      </c>
      <c r="I39" s="14">
        <v>4177.7025561580167</v>
      </c>
      <c r="J39" s="12">
        <v>3895.5793958171957</v>
      </c>
    </row>
    <row r="40" spans="1:10" x14ac:dyDescent="0.2">
      <c r="A40" s="11" t="s">
        <v>39</v>
      </c>
      <c r="B40" s="12">
        <v>1554.8555791096551</v>
      </c>
      <c r="C40" s="12">
        <v>1827.5658508383119</v>
      </c>
      <c r="D40" s="12">
        <v>2175</v>
      </c>
      <c r="E40" s="12">
        <v>3552</v>
      </c>
      <c r="F40" s="12">
        <v>4497</v>
      </c>
      <c r="G40" s="12">
        <v>4783</v>
      </c>
      <c r="H40" s="14">
        <v>5281</v>
      </c>
      <c r="I40" s="14">
        <v>5667.0468303826392</v>
      </c>
      <c r="J40" s="12">
        <v>6083.2535693889213</v>
      </c>
    </row>
    <row r="41" spans="1:10" x14ac:dyDescent="0.2">
      <c r="A41" s="11" t="s">
        <v>41</v>
      </c>
      <c r="B41" s="12">
        <v>2285.4765067345293</v>
      </c>
      <c r="C41" s="12">
        <v>2660.7669294270995</v>
      </c>
      <c r="D41" s="12">
        <v>2857</v>
      </c>
      <c r="E41" s="12">
        <v>3796</v>
      </c>
      <c r="F41" s="12">
        <v>5100</v>
      </c>
      <c r="G41" s="12">
        <v>5466</v>
      </c>
      <c r="H41" s="14">
        <v>5094</v>
      </c>
      <c r="I41" s="14">
        <v>4758.1318681318689</v>
      </c>
      <c r="J41" s="12">
        <v>3940.2307692307695</v>
      </c>
    </row>
    <row r="42" spans="1:10" x14ac:dyDescent="0.2">
      <c r="A42" s="11" t="s">
        <v>43</v>
      </c>
      <c r="B42" s="12">
        <v>4275.8014100623832</v>
      </c>
      <c r="C42" s="12">
        <v>4417.8579602081873</v>
      </c>
      <c r="D42" s="12">
        <v>4334</v>
      </c>
      <c r="E42" s="12">
        <v>5294</v>
      </c>
      <c r="F42" s="12">
        <v>5728</v>
      </c>
      <c r="G42" s="12">
        <v>5638</v>
      </c>
      <c r="H42" s="14">
        <v>5873</v>
      </c>
      <c r="I42" s="12">
        <v>5343.9576407506702</v>
      </c>
      <c r="J42" s="12">
        <v>5123.5233243967832</v>
      </c>
    </row>
    <row r="43" spans="1:10" x14ac:dyDescent="0.2">
      <c r="A43" s="11" t="s">
        <v>44</v>
      </c>
      <c r="B43" s="12">
        <v>1750.0138415146573</v>
      </c>
      <c r="C43" s="12">
        <v>2011.2403974492067</v>
      </c>
      <c r="D43" s="12">
        <v>2295</v>
      </c>
      <c r="E43" s="12">
        <v>3675</v>
      </c>
      <c r="F43" s="12">
        <v>4790</v>
      </c>
      <c r="G43" s="12">
        <v>6036</v>
      </c>
      <c r="H43" s="14">
        <v>6482</v>
      </c>
      <c r="I43" s="12">
        <v>5940.593850390087</v>
      </c>
      <c r="J43" s="12">
        <v>5652.0422212023868</v>
      </c>
    </row>
    <row r="44" spans="1:10" x14ac:dyDescent="0.2">
      <c r="A44" s="11" t="s">
        <v>45</v>
      </c>
      <c r="B44" s="12">
        <v>3400.0268920856197</v>
      </c>
      <c r="C44" s="12">
        <v>3831.6629591180981</v>
      </c>
      <c r="D44" s="12">
        <v>3854</v>
      </c>
      <c r="E44" s="12">
        <v>4811</v>
      </c>
      <c r="F44" s="12">
        <v>5441</v>
      </c>
      <c r="G44" s="12">
        <v>5444</v>
      </c>
      <c r="H44" s="14">
        <v>5528</v>
      </c>
      <c r="I44" s="12">
        <v>5318.9961643835613</v>
      </c>
      <c r="J44" s="12">
        <v>4864.6399999999994</v>
      </c>
    </row>
    <row r="45" spans="1:10" x14ac:dyDescent="0.2">
      <c r="A45" s="11" t="s">
        <v>46</v>
      </c>
      <c r="B45" s="12">
        <v>2783.0954321418872</v>
      </c>
      <c r="C45" s="12">
        <v>2810.8236892148875</v>
      </c>
      <c r="D45" s="12">
        <v>2915</v>
      </c>
      <c r="E45" s="12">
        <v>4001</v>
      </c>
      <c r="F45" s="12">
        <v>4731</v>
      </c>
      <c r="G45" s="12">
        <v>4910</v>
      </c>
      <c r="H45" s="14">
        <v>5059</v>
      </c>
      <c r="I45" s="12">
        <v>4847.0890855457228</v>
      </c>
      <c r="J45" s="12">
        <v>4226.2796460176987</v>
      </c>
    </row>
    <row r="46" spans="1:10" x14ac:dyDescent="0.2">
      <c r="A46" s="11" t="s">
        <v>47</v>
      </c>
      <c r="B46" s="12">
        <v>3888.0472001456046</v>
      </c>
      <c r="C46" s="12">
        <v>4265.1857671540374</v>
      </c>
      <c r="D46" s="12">
        <v>4686</v>
      </c>
      <c r="E46" s="12">
        <v>5522</v>
      </c>
      <c r="F46" s="12">
        <v>5271</v>
      </c>
      <c r="G46" s="12">
        <v>4988</v>
      </c>
      <c r="H46" s="14">
        <v>4660</v>
      </c>
      <c r="I46" s="12">
        <v>4440.6740267286459</v>
      </c>
      <c r="J46" s="12">
        <v>4053.4689134224286</v>
      </c>
    </row>
    <row r="47" spans="1:10" x14ac:dyDescent="0.2">
      <c r="A47" s="11" t="s">
        <v>48</v>
      </c>
      <c r="B47" s="12">
        <v>2402.6240975550568</v>
      </c>
      <c r="C47" s="12">
        <v>2704.3349511618035</v>
      </c>
      <c r="D47" s="12">
        <v>2742</v>
      </c>
      <c r="E47" s="12">
        <v>3032</v>
      </c>
      <c r="F47" s="12">
        <v>3258</v>
      </c>
      <c r="G47" s="12">
        <v>3530</v>
      </c>
      <c r="H47" s="14">
        <v>3427</v>
      </c>
      <c r="I47" s="12">
        <v>3321.4221482098251</v>
      </c>
      <c r="J47" s="12">
        <v>3070.3180682764364</v>
      </c>
    </row>
    <row r="48" spans="1:10" x14ac:dyDescent="0.2">
      <c r="A48" s="13" t="s">
        <v>49</v>
      </c>
      <c r="B48" s="12">
        <v>2092.6525506451831</v>
      </c>
      <c r="C48" s="12">
        <v>2246.1404894029552</v>
      </c>
      <c r="D48" s="14">
        <v>2385</v>
      </c>
      <c r="E48" s="14">
        <v>3150</v>
      </c>
      <c r="F48" s="14">
        <v>4117</v>
      </c>
      <c r="G48" s="14">
        <v>5991</v>
      </c>
      <c r="H48" s="14">
        <v>6674</v>
      </c>
      <c r="I48" s="12">
        <v>7797.5438596491222</v>
      </c>
      <c r="J48" s="12">
        <v>9217.5438596491222</v>
      </c>
    </row>
    <row r="49" spans="1:10" x14ac:dyDescent="0.2">
      <c r="A49" s="11" t="s">
        <v>50</v>
      </c>
      <c r="B49" s="12">
        <v>2206.0395523532115</v>
      </c>
      <c r="C49" s="12">
        <v>2318.1940824773874</v>
      </c>
      <c r="D49" s="12">
        <v>2351</v>
      </c>
      <c r="E49" s="12">
        <v>3107</v>
      </c>
      <c r="F49" s="12">
        <v>3300</v>
      </c>
      <c r="G49" s="12">
        <v>3378</v>
      </c>
      <c r="H49" s="14">
        <v>3250</v>
      </c>
      <c r="I49" s="12">
        <v>2961.253701875617</v>
      </c>
      <c r="J49" s="12">
        <v>2749.5064165844028</v>
      </c>
    </row>
    <row r="50" spans="1:10" x14ac:dyDescent="0.2">
      <c r="A50" s="11" t="s">
        <v>51</v>
      </c>
      <c r="B50" s="12">
        <v>1544.9657054248657</v>
      </c>
      <c r="C50" s="12">
        <v>1548.9733985647485</v>
      </c>
      <c r="D50" s="12">
        <v>1692</v>
      </c>
      <c r="E50" s="12">
        <v>3323</v>
      </c>
      <c r="F50" s="12">
        <v>4419</v>
      </c>
      <c r="G50" s="12">
        <v>4740</v>
      </c>
      <c r="H50" s="14">
        <v>4227</v>
      </c>
      <c r="I50" s="12">
        <v>3807.8670886075947</v>
      </c>
      <c r="J50" s="12">
        <v>3644.3755274261603</v>
      </c>
    </row>
    <row r="51" spans="1:10" x14ac:dyDescent="0.2">
      <c r="A51" s="13" t="s">
        <v>52</v>
      </c>
      <c r="B51" s="12">
        <v>2313.9670071304686</v>
      </c>
      <c r="C51" s="12">
        <v>2407.583966082097</v>
      </c>
      <c r="D51" s="14">
        <v>2426</v>
      </c>
      <c r="E51" s="14">
        <v>2854</v>
      </c>
      <c r="F51" s="14">
        <v>3212</v>
      </c>
      <c r="G51" s="14">
        <v>3202</v>
      </c>
      <c r="H51" s="14">
        <v>3510</v>
      </c>
      <c r="I51" s="12">
        <v>3471.8478260869565</v>
      </c>
      <c r="J51" s="12">
        <v>3372.0652173913045</v>
      </c>
    </row>
    <row r="52" spans="1:10" x14ac:dyDescent="0.2">
      <c r="A52" s="11" t="s">
        <v>53</v>
      </c>
      <c r="B52" s="12">
        <v>1763.4585854692621</v>
      </c>
      <c r="C52" s="12">
        <v>2186.7700520331473</v>
      </c>
      <c r="D52" s="12">
        <v>2253</v>
      </c>
      <c r="E52" s="12">
        <v>2871</v>
      </c>
      <c r="F52" s="12">
        <v>3129</v>
      </c>
      <c r="G52" s="12">
        <v>3796</v>
      </c>
      <c r="H52" s="14">
        <v>3661</v>
      </c>
      <c r="I52" s="12">
        <v>3620.7059748427673</v>
      </c>
      <c r="J52" s="12">
        <v>3355.9166666666665</v>
      </c>
    </row>
    <row r="53" spans="1:10" x14ac:dyDescent="0.2">
      <c r="A53" s="13" t="s">
        <v>54</v>
      </c>
      <c r="B53" s="12">
        <v>1798.0943214629451</v>
      </c>
      <c r="C53" s="12">
        <v>2111.1645813282003</v>
      </c>
      <c r="D53" s="14">
        <v>2095</v>
      </c>
      <c r="E53" s="14">
        <v>2886</v>
      </c>
      <c r="F53" s="14">
        <v>3569</v>
      </c>
      <c r="G53" s="14">
        <v>3632</v>
      </c>
      <c r="H53" s="14">
        <v>3855</v>
      </c>
      <c r="I53" s="14">
        <v>3687</v>
      </c>
      <c r="J53" s="14">
        <v>3618</v>
      </c>
    </row>
    <row r="54" spans="1:10" x14ac:dyDescent="0.2">
      <c r="A54" s="11" t="s">
        <v>55</v>
      </c>
      <c r="B54" s="12">
        <v>2079.6082851352021</v>
      </c>
      <c r="C54" s="12">
        <v>1937.7704285926147</v>
      </c>
      <c r="D54" s="12">
        <v>1855</v>
      </c>
      <c r="E54" s="12">
        <v>2192</v>
      </c>
      <c r="F54" s="12">
        <v>2319</v>
      </c>
      <c r="G54" s="12">
        <v>2334</v>
      </c>
      <c r="H54" s="14">
        <v>2288</v>
      </c>
      <c r="I54" s="12">
        <v>1850.9333333333332</v>
      </c>
      <c r="J54" s="12">
        <v>1677.8666666666666</v>
      </c>
    </row>
    <row r="55" spans="1:10" x14ac:dyDescent="0.2">
      <c r="A55" s="11" t="s">
        <v>56</v>
      </c>
      <c r="B55" s="12">
        <v>1559.9712034773161</v>
      </c>
      <c r="C55" s="12">
        <v>1431.5996429541663</v>
      </c>
      <c r="D55" s="12">
        <v>1411</v>
      </c>
      <c r="E55" s="12">
        <v>1626</v>
      </c>
      <c r="F55" s="12">
        <v>1458</v>
      </c>
      <c r="G55" s="12">
        <v>1399</v>
      </c>
      <c r="H55" s="14">
        <v>1496</v>
      </c>
      <c r="I55" s="12">
        <v>1402.9308755760369</v>
      </c>
      <c r="J55" s="12">
        <v>1116.8294930875577</v>
      </c>
    </row>
    <row r="56" spans="1:10" x14ac:dyDescent="0.2">
      <c r="A56" s="11" t="s">
        <v>57</v>
      </c>
      <c r="B56" s="12">
        <v>1708.7085748034403</v>
      </c>
      <c r="C56" s="12">
        <v>1617.0266878299067</v>
      </c>
      <c r="D56" s="12">
        <v>1651</v>
      </c>
      <c r="E56" s="12">
        <v>2525</v>
      </c>
      <c r="F56" s="12">
        <v>2819</v>
      </c>
      <c r="G56" s="12">
        <v>2789</v>
      </c>
      <c r="H56" s="14">
        <v>2729</v>
      </c>
      <c r="I56" s="12">
        <v>2662.7328918322296</v>
      </c>
      <c r="J56" s="12">
        <v>2463.9315673289184</v>
      </c>
    </row>
    <row r="57" spans="1:10" x14ac:dyDescent="0.2">
      <c r="A57" s="11" t="s">
        <v>58</v>
      </c>
      <c r="B57" s="12">
        <v>1758.0757447122662</v>
      </c>
      <c r="C57" s="12">
        <v>1935.3945590786609</v>
      </c>
      <c r="D57" s="12">
        <v>1918</v>
      </c>
      <c r="E57" s="12">
        <v>2590</v>
      </c>
      <c r="F57" s="12">
        <v>3536</v>
      </c>
      <c r="G57" s="12">
        <v>3985</v>
      </c>
      <c r="H57" s="14">
        <v>3902</v>
      </c>
      <c r="I57" s="12">
        <v>3967.5011990407675</v>
      </c>
      <c r="J57" s="12">
        <v>3877.0471622701839</v>
      </c>
    </row>
    <row r="58" spans="1:10" x14ac:dyDescent="0.2">
      <c r="A58" s="11" t="s">
        <v>60</v>
      </c>
      <c r="B58" s="12">
        <v>1851.5511267821553</v>
      </c>
      <c r="C58" s="12">
        <v>1913.6366702437526</v>
      </c>
      <c r="D58" s="12">
        <v>2081</v>
      </c>
      <c r="E58" s="12">
        <v>2254</v>
      </c>
      <c r="F58" s="12">
        <v>2703</v>
      </c>
      <c r="G58" s="12">
        <v>3711</v>
      </c>
      <c r="H58" s="14">
        <v>3919</v>
      </c>
      <c r="I58" s="12">
        <v>3878.7575039494468</v>
      </c>
      <c r="J58" s="12">
        <v>3918.9999999999995</v>
      </c>
    </row>
    <row r="59" spans="1:10" x14ac:dyDescent="0.2">
      <c r="A59" s="13" t="s">
        <v>61</v>
      </c>
      <c r="B59" s="12">
        <v>1505.8906973110072</v>
      </c>
      <c r="C59" s="12">
        <v>1425.7368345133489</v>
      </c>
      <c r="D59" s="14">
        <v>1472</v>
      </c>
      <c r="E59" s="14">
        <v>1904</v>
      </c>
      <c r="F59" s="14">
        <v>1861</v>
      </c>
      <c r="G59" s="14">
        <v>2218</v>
      </c>
      <c r="H59" s="14">
        <v>2154</v>
      </c>
      <c r="I59" s="12">
        <v>1939.8414985590778</v>
      </c>
      <c r="J59" s="12">
        <v>1759.8242074927953</v>
      </c>
    </row>
    <row r="60" spans="1:10" x14ac:dyDescent="0.2">
      <c r="A60" s="11" t="s">
        <v>62</v>
      </c>
      <c r="B60" s="12">
        <v>1549.9753218497194</v>
      </c>
      <c r="C60" s="12">
        <v>1377.6445168347539</v>
      </c>
      <c r="D60" s="12">
        <v>1351</v>
      </c>
      <c r="E60" s="12">
        <v>1286</v>
      </c>
      <c r="F60" s="12">
        <v>1208</v>
      </c>
      <c r="G60" s="12">
        <v>1120</v>
      </c>
      <c r="H60" s="14">
        <v>972</v>
      </c>
      <c r="I60" s="12">
        <v>871.98713826366566</v>
      </c>
      <c r="J60" s="12">
        <v>793.85209003215436</v>
      </c>
    </row>
    <row r="61" spans="1:10" x14ac:dyDescent="0.2">
      <c r="A61" s="11" t="s">
        <v>63</v>
      </c>
      <c r="B61" s="12">
        <v>1579.8157224002332</v>
      </c>
      <c r="C61" s="12">
        <v>2046.8305418001748</v>
      </c>
      <c r="D61" s="12">
        <v>2059</v>
      </c>
      <c r="E61" s="12">
        <v>2693</v>
      </c>
      <c r="F61" s="12">
        <v>3279</v>
      </c>
      <c r="G61" s="12">
        <v>3016</v>
      </c>
      <c r="H61" s="14">
        <v>2537</v>
      </c>
      <c r="I61" s="12">
        <v>2010.5109223300969</v>
      </c>
      <c r="J61" s="12">
        <v>1644.1237864077668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A67"/>
  <sheetViews>
    <sheetView workbookViewId="0">
      <pane xSplit="1" ySplit="1" topLeftCell="B2" activePane="bottomRight" state="frozen"/>
      <selection pane="topRight" activeCell="B1" sqref="B1"/>
      <selection pane="bottomLeft" activeCell="A2" sqref="A2"/>
      <selection pane="bottomRight" activeCell="B3" sqref="B3"/>
    </sheetView>
  </sheetViews>
  <sheetFormatPr defaultRowHeight="15" x14ac:dyDescent="0.25"/>
  <cols>
    <col min="1" max="1" width="16.140625" customWidth="1"/>
    <col min="2" max="2" width="12.28515625" customWidth="1"/>
  </cols>
  <sheetData>
    <row r="1" spans="1:27" x14ac:dyDescent="0.25">
      <c r="B1">
        <v>1901</v>
      </c>
      <c r="C1">
        <v>1926</v>
      </c>
      <c r="D1" t="s">
        <v>73</v>
      </c>
      <c r="E1" t="s">
        <v>81</v>
      </c>
      <c r="F1">
        <v>1936</v>
      </c>
      <c r="G1" t="s">
        <v>74</v>
      </c>
      <c r="H1" t="s">
        <v>80</v>
      </c>
      <c r="I1" t="s">
        <v>85</v>
      </c>
      <c r="J1" t="s">
        <v>67</v>
      </c>
      <c r="K1" t="s">
        <v>66</v>
      </c>
      <c r="L1" t="s">
        <v>79</v>
      </c>
      <c r="M1">
        <v>1956</v>
      </c>
      <c r="N1" t="s">
        <v>78</v>
      </c>
      <c r="O1">
        <v>1966</v>
      </c>
      <c r="P1" t="s">
        <v>77</v>
      </c>
      <c r="Q1">
        <v>1976</v>
      </c>
      <c r="R1" t="s">
        <v>76</v>
      </c>
      <c r="S1">
        <v>1986</v>
      </c>
      <c r="T1" t="s">
        <v>75</v>
      </c>
      <c r="U1" t="s">
        <v>86</v>
      </c>
      <c r="V1" t="s">
        <v>72</v>
      </c>
      <c r="W1" t="s">
        <v>82</v>
      </c>
      <c r="X1">
        <v>1996</v>
      </c>
      <c r="Y1" t="s">
        <v>83</v>
      </c>
      <c r="Z1">
        <v>2006</v>
      </c>
      <c r="AA1" t="s">
        <v>84</v>
      </c>
    </row>
    <row r="2" spans="1:27" x14ac:dyDescent="0.25">
      <c r="A2" s="1" t="s">
        <v>64</v>
      </c>
      <c r="B2" s="1"/>
      <c r="W2" s="3" t="e">
        <f t="shared" ref="W2:W33" si="0">S2/V2</f>
        <v>#DIV/0!</v>
      </c>
    </row>
    <row r="3" spans="1:27" x14ac:dyDescent="0.25">
      <c r="A3" t="s">
        <v>0</v>
      </c>
      <c r="B3">
        <v>1429</v>
      </c>
      <c r="C3">
        <v>6266</v>
      </c>
      <c r="D3">
        <f>C3*I4</f>
        <v>6384.8631353325563</v>
      </c>
      <c r="F3">
        <v>7152</v>
      </c>
      <c r="G3">
        <f>F3*I4</f>
        <v>7287.6701474462889</v>
      </c>
      <c r="K3">
        <v>9289</v>
      </c>
      <c r="M3">
        <v>13363</v>
      </c>
      <c r="O3">
        <v>29503</v>
      </c>
      <c r="Q3">
        <v>39069</v>
      </c>
      <c r="S3">
        <v>44043</v>
      </c>
      <c r="W3" s="3" t="e">
        <f t="shared" si="0"/>
        <v>#DIV/0!</v>
      </c>
      <c r="X3">
        <v>45785</v>
      </c>
      <c r="Z3">
        <v>49080</v>
      </c>
    </row>
    <row r="4" spans="1:27" x14ac:dyDescent="0.25">
      <c r="A4" t="s">
        <v>1</v>
      </c>
      <c r="B4">
        <v>67226</v>
      </c>
      <c r="C4">
        <v>192976</v>
      </c>
      <c r="D4">
        <f>C4*I4</f>
        <v>196636.66587997694</v>
      </c>
      <c r="F4">
        <v>212159</v>
      </c>
      <c r="G4">
        <f>F4*I4</f>
        <v>216183.55855873282</v>
      </c>
      <c r="I4">
        <f>K4/J4</f>
        <v>1.0189695396317517</v>
      </c>
      <c r="J4">
        <v>258467</v>
      </c>
      <c r="K4">
        <v>263370</v>
      </c>
      <c r="M4">
        <v>381063</v>
      </c>
      <c r="O4">
        <v>548293</v>
      </c>
      <c r="Q4">
        <v>742786</v>
      </c>
      <c r="S4">
        <v>820754</v>
      </c>
      <c r="W4" s="3" t="e">
        <f t="shared" si="0"/>
        <v>#DIV/0!</v>
      </c>
      <c r="X4">
        <v>997940</v>
      </c>
      <c r="Z4" s="3">
        <v>1208094</v>
      </c>
    </row>
    <row r="5" spans="1:27" s="3" customFormat="1" x14ac:dyDescent="0.25">
      <c r="A5" s="3" t="s">
        <v>2</v>
      </c>
      <c r="C5" s="3">
        <v>2307</v>
      </c>
      <c r="D5" s="3">
        <f>C5*I4</f>
        <v>2350.7627279304511</v>
      </c>
      <c r="E5" s="3">
        <f>D5*U5</f>
        <v>3457.6072768868512</v>
      </c>
      <c r="F5" s="3">
        <v>2536</v>
      </c>
      <c r="G5" s="3">
        <f>F5*I4</f>
        <v>2584.1067525061226</v>
      </c>
      <c r="H5" s="3">
        <f>G5*U5</f>
        <v>3800.8201361877136</v>
      </c>
      <c r="I5" s="3" t="e">
        <f t="shared" ref="I5:I24" si="1">K5/J5</f>
        <v>#DIV/0!</v>
      </c>
      <c r="K5" s="3">
        <v>3309</v>
      </c>
      <c r="L5" s="3">
        <f>K5*U5</f>
        <v>4867.0256437539902</v>
      </c>
      <c r="M5" s="3">
        <v>4689</v>
      </c>
      <c r="N5" s="3">
        <f>M5*U5</f>
        <v>6896.7915513939133</v>
      </c>
      <c r="O5" s="3">
        <v>6547</v>
      </c>
      <c r="P5" s="3">
        <f>O5*U5</f>
        <v>9629.6213024047665</v>
      </c>
      <c r="Q5" s="3">
        <v>8770</v>
      </c>
      <c r="R5" s="3">
        <f>Q5*U5</f>
        <v>12899.309427537773</v>
      </c>
      <c r="S5" s="3">
        <v>13823</v>
      </c>
      <c r="T5" s="3">
        <v>9398</v>
      </c>
      <c r="U5" s="3">
        <f>S5/T5</f>
        <v>1.4708448606086402</v>
      </c>
      <c r="V5" s="3">
        <v>13098</v>
      </c>
      <c r="W5" s="3">
        <f t="shared" si="0"/>
        <v>1.0553519621316232</v>
      </c>
      <c r="X5" s="3">
        <v>15414</v>
      </c>
      <c r="Y5" s="3">
        <f>X5*W5</f>
        <v>16267.19514429684</v>
      </c>
      <c r="Z5" s="3">
        <v>22518</v>
      </c>
    </row>
    <row r="6" spans="1:27" x14ac:dyDescent="0.25">
      <c r="A6" t="s">
        <v>3</v>
      </c>
      <c r="B6">
        <v>1253</v>
      </c>
      <c r="C6">
        <v>16070</v>
      </c>
      <c r="D6">
        <f>C6*I6</f>
        <v>16352.440547311622</v>
      </c>
      <c r="E6">
        <f t="shared" ref="E6:E33" si="2">D6*U6</f>
        <v>0</v>
      </c>
      <c r="F6">
        <v>19587</v>
      </c>
      <c r="G6">
        <f>F6*I6</f>
        <v>19931.254075929854</v>
      </c>
      <c r="H6">
        <f t="shared" ref="H6:H33" si="3">G6*U6</f>
        <v>0</v>
      </c>
      <c r="I6">
        <f t="shared" si="1"/>
        <v>1.0175756407785701</v>
      </c>
      <c r="J6">
        <v>25945</v>
      </c>
      <c r="K6">
        <v>26401</v>
      </c>
      <c r="M6">
        <v>40646</v>
      </c>
      <c r="O6">
        <v>63303</v>
      </c>
      <c r="Q6">
        <v>94777</v>
      </c>
      <c r="S6" s="7">
        <v>101814</v>
      </c>
      <c r="W6" s="3" t="e">
        <f t="shared" si="0"/>
        <v>#DIV/0!</v>
      </c>
      <c r="X6">
        <v>159234</v>
      </c>
      <c r="Z6">
        <v>184908</v>
      </c>
    </row>
    <row r="7" spans="1:27" x14ac:dyDescent="0.25">
      <c r="A7" t="s">
        <v>4</v>
      </c>
      <c r="B7">
        <v>945</v>
      </c>
      <c r="C7">
        <v>2514</v>
      </c>
      <c r="D7">
        <f>C7*I6</f>
        <v>2558.1851609173254</v>
      </c>
      <c r="E7">
        <f t="shared" si="2"/>
        <v>0</v>
      </c>
      <c r="F7">
        <v>3387</v>
      </c>
      <c r="G7">
        <f>F7*I6</f>
        <v>3446.5286953170171</v>
      </c>
      <c r="H7">
        <f t="shared" si="3"/>
        <v>0</v>
      </c>
      <c r="I7" t="e">
        <f t="shared" si="1"/>
        <v>#DIV/0!</v>
      </c>
      <c r="K7">
        <v>4712</v>
      </c>
      <c r="M7">
        <v>9572</v>
      </c>
      <c r="O7">
        <v>31606</v>
      </c>
      <c r="Q7">
        <v>48153</v>
      </c>
      <c r="S7" s="7">
        <v>59435</v>
      </c>
      <c r="W7" s="3" t="e">
        <f t="shared" si="0"/>
        <v>#DIV/0!</v>
      </c>
      <c r="X7">
        <v>82832</v>
      </c>
      <c r="Z7">
        <v>108882</v>
      </c>
    </row>
    <row r="8" spans="1:27" x14ac:dyDescent="0.25">
      <c r="A8" t="s">
        <v>5</v>
      </c>
      <c r="C8">
        <v>4139</v>
      </c>
      <c r="D8">
        <f>C8*I6</f>
        <v>4211.7455771825016</v>
      </c>
      <c r="E8">
        <f t="shared" si="2"/>
        <v>0</v>
      </c>
      <c r="F8">
        <v>6531</v>
      </c>
      <c r="G8">
        <f>F8*I6</f>
        <v>6645.7865099248411</v>
      </c>
      <c r="H8">
        <f t="shared" si="3"/>
        <v>0</v>
      </c>
      <c r="I8" t="e">
        <f t="shared" si="1"/>
        <v>#DIV/0!</v>
      </c>
      <c r="K8">
        <v>7512</v>
      </c>
      <c r="M8">
        <v>12302</v>
      </c>
      <c r="O8">
        <v>33229</v>
      </c>
      <c r="Q8">
        <v>46650</v>
      </c>
      <c r="S8">
        <v>48855</v>
      </c>
      <c r="W8" s="3" t="e">
        <f t="shared" si="0"/>
        <v>#DIV/0!</v>
      </c>
      <c r="X8" s="3">
        <v>52956</v>
      </c>
      <c r="Z8">
        <v>53766</v>
      </c>
    </row>
    <row r="9" spans="1:27" s="2" customFormat="1" x14ac:dyDescent="0.25">
      <c r="A9" s="2" t="s">
        <v>6</v>
      </c>
      <c r="D9" s="2" t="e">
        <f t="shared" ref="D9:D15" si="4">C9*I9</f>
        <v>#DIV/0!</v>
      </c>
      <c r="E9" s="2" t="e">
        <f t="shared" si="2"/>
        <v>#DIV/0!</v>
      </c>
      <c r="G9" s="2" t="e">
        <f t="shared" ref="G9:G15" si="5">F9*I9</f>
        <v>#DIV/0!</v>
      </c>
      <c r="H9" s="2" t="e">
        <f t="shared" si="3"/>
        <v>#DIV/0!</v>
      </c>
      <c r="I9" s="2" t="e">
        <f t="shared" si="1"/>
        <v>#DIV/0!</v>
      </c>
      <c r="M9" s="2">
        <v>2849</v>
      </c>
      <c r="N9" s="2">
        <f>M9*U9</f>
        <v>3133.4871794871792</v>
      </c>
      <c r="O9" s="2">
        <v>7311</v>
      </c>
      <c r="P9" s="2">
        <f>O9*U9</f>
        <v>8041.0406350406347</v>
      </c>
      <c r="Q9" s="2">
        <v>12898</v>
      </c>
      <c r="R9" s="2">
        <f>Q9*U9</f>
        <v>14185.931077931076</v>
      </c>
      <c r="S9" s="2">
        <v>17458</v>
      </c>
      <c r="T9" s="2">
        <v>15873</v>
      </c>
      <c r="U9" s="2">
        <f>S9/T9</f>
        <v>1.0998550998550998</v>
      </c>
      <c r="W9" s="2" t="e">
        <f t="shared" si="0"/>
        <v>#DIV/0!</v>
      </c>
      <c r="X9" s="2">
        <v>21044</v>
      </c>
      <c r="Z9" s="2">
        <v>21291</v>
      </c>
    </row>
    <row r="10" spans="1:27" x14ac:dyDescent="0.25">
      <c r="A10" t="s">
        <v>7</v>
      </c>
      <c r="B10">
        <v>2737</v>
      </c>
      <c r="C10">
        <v>14834</v>
      </c>
      <c r="D10">
        <f t="shared" si="4"/>
        <v>15637.803736577494</v>
      </c>
      <c r="E10">
        <f t="shared" si="2"/>
        <v>0</v>
      </c>
      <c r="F10">
        <v>15885</v>
      </c>
      <c r="G10">
        <f t="shared" si="5"/>
        <v>16745.753832785053</v>
      </c>
      <c r="H10">
        <f t="shared" si="3"/>
        <v>0</v>
      </c>
      <c r="I10">
        <f t="shared" si="1"/>
        <v>1.0541865805971076</v>
      </c>
      <c r="J10">
        <v>16111</v>
      </c>
      <c r="K10">
        <v>16984</v>
      </c>
      <c r="M10">
        <v>22622</v>
      </c>
      <c r="O10">
        <v>27804</v>
      </c>
      <c r="Q10">
        <v>31790</v>
      </c>
      <c r="S10">
        <v>32238</v>
      </c>
      <c r="W10" s="3" t="e">
        <f t="shared" si="0"/>
        <v>#DIV/0!</v>
      </c>
      <c r="X10">
        <v>32653</v>
      </c>
      <c r="Z10" s="3">
        <v>32529</v>
      </c>
    </row>
    <row r="11" spans="1:27" x14ac:dyDescent="0.25">
      <c r="A11" t="s">
        <v>8</v>
      </c>
      <c r="B11">
        <v>8774</v>
      </c>
      <c r="C11">
        <v>17933</v>
      </c>
      <c r="D11">
        <f t="shared" si="4"/>
        <v>18363.659805257052</v>
      </c>
      <c r="E11">
        <f t="shared" si="2"/>
        <v>0</v>
      </c>
      <c r="F11">
        <v>18689</v>
      </c>
      <c r="G11">
        <f t="shared" si="5"/>
        <v>19137.815095101156</v>
      </c>
      <c r="H11">
        <f t="shared" si="3"/>
        <v>0</v>
      </c>
      <c r="I11">
        <f t="shared" si="1"/>
        <v>1.0240149336562232</v>
      </c>
      <c r="J11">
        <v>19821</v>
      </c>
      <c r="K11">
        <v>20297</v>
      </c>
      <c r="M11">
        <v>27507</v>
      </c>
      <c r="O11">
        <v>38309</v>
      </c>
      <c r="Q11">
        <v>50164</v>
      </c>
      <c r="S11">
        <v>52151</v>
      </c>
      <c r="W11" s="3" t="e">
        <f t="shared" si="0"/>
        <v>#DIV/0!</v>
      </c>
      <c r="X11">
        <v>55044</v>
      </c>
      <c r="Z11">
        <v>56286</v>
      </c>
    </row>
    <row r="12" spans="1:27" x14ac:dyDescent="0.25">
      <c r="A12" t="s">
        <v>9</v>
      </c>
      <c r="B12">
        <v>3650</v>
      </c>
      <c r="C12">
        <v>14638</v>
      </c>
      <c r="D12">
        <f t="shared" si="4"/>
        <v>15074.744947064484</v>
      </c>
      <c r="E12">
        <f t="shared" si="2"/>
        <v>0</v>
      </c>
      <c r="F12">
        <v>17961</v>
      </c>
      <c r="G12">
        <f t="shared" si="5"/>
        <v>18496.89124157844</v>
      </c>
      <c r="H12">
        <f t="shared" si="3"/>
        <v>0</v>
      </c>
      <c r="I12">
        <f t="shared" si="1"/>
        <v>1.0298363811357074</v>
      </c>
      <c r="J12">
        <v>19741</v>
      </c>
      <c r="K12">
        <v>20330</v>
      </c>
      <c r="M12">
        <v>27787</v>
      </c>
      <c r="O12">
        <v>37466</v>
      </c>
      <c r="Q12">
        <v>50814</v>
      </c>
      <c r="S12" s="7">
        <v>54909</v>
      </c>
      <c r="W12" s="3" t="e">
        <f t="shared" si="0"/>
        <v>#DIV/0!</v>
      </c>
      <c r="X12">
        <v>58675</v>
      </c>
      <c r="Z12">
        <v>62118</v>
      </c>
    </row>
    <row r="13" spans="1:27" x14ac:dyDescent="0.25">
      <c r="A13" t="s">
        <v>10</v>
      </c>
      <c r="B13">
        <v>4405</v>
      </c>
      <c r="C13">
        <v>15938</v>
      </c>
      <c r="D13">
        <f t="shared" si="4"/>
        <v>16263.39393939394</v>
      </c>
      <c r="E13">
        <f t="shared" si="2"/>
        <v>0</v>
      </c>
      <c r="F13">
        <v>18520</v>
      </c>
      <c r="G13">
        <f t="shared" si="5"/>
        <v>18898.108655890061</v>
      </c>
      <c r="H13">
        <f t="shared" si="3"/>
        <v>0</v>
      </c>
      <c r="I13">
        <f t="shared" si="1"/>
        <v>1.0204162341193337</v>
      </c>
      <c r="J13">
        <v>20229</v>
      </c>
      <c r="K13">
        <v>20642</v>
      </c>
      <c r="M13">
        <v>28292</v>
      </c>
      <c r="O13">
        <v>35280</v>
      </c>
      <c r="Q13">
        <v>43914</v>
      </c>
      <c r="S13">
        <v>47384</v>
      </c>
      <c r="W13" s="3" t="e">
        <f t="shared" si="0"/>
        <v>#DIV/0!</v>
      </c>
      <c r="X13">
        <v>49306</v>
      </c>
      <c r="Z13">
        <v>49281</v>
      </c>
    </row>
    <row r="14" spans="1:27" x14ac:dyDescent="0.25">
      <c r="A14" t="s">
        <v>11</v>
      </c>
      <c r="B14">
        <v>7329</v>
      </c>
      <c r="C14">
        <v>26130</v>
      </c>
      <c r="D14">
        <f t="shared" si="4"/>
        <v>26834.791011759229</v>
      </c>
      <c r="E14">
        <f t="shared" si="2"/>
        <v>0</v>
      </c>
      <c r="F14">
        <v>25795</v>
      </c>
      <c r="G14">
        <f t="shared" si="5"/>
        <v>26490.755229557188</v>
      </c>
      <c r="H14">
        <f t="shared" si="3"/>
        <v>0</v>
      </c>
      <c r="I14">
        <f t="shared" si="1"/>
        <v>1.0269724841851982</v>
      </c>
      <c r="J14">
        <v>25767</v>
      </c>
      <c r="K14">
        <v>26462</v>
      </c>
      <c r="M14">
        <v>32100</v>
      </c>
      <c r="O14">
        <v>38174</v>
      </c>
      <c r="Q14">
        <v>39679</v>
      </c>
      <c r="S14">
        <v>40758</v>
      </c>
      <c r="W14" s="3" t="e">
        <f t="shared" si="0"/>
        <v>#DIV/0!</v>
      </c>
      <c r="X14">
        <v>41320</v>
      </c>
      <c r="Z14">
        <v>38988</v>
      </c>
    </row>
    <row r="15" spans="1:27" x14ac:dyDescent="0.25">
      <c r="A15" t="s">
        <v>12</v>
      </c>
      <c r="B15">
        <v>6534</v>
      </c>
      <c r="C15">
        <v>19754</v>
      </c>
      <c r="D15">
        <f t="shared" si="4"/>
        <v>19902.021926100922</v>
      </c>
      <c r="E15">
        <f t="shared" si="2"/>
        <v>0</v>
      </c>
      <c r="F15">
        <v>24067</v>
      </c>
      <c r="G15">
        <f t="shared" si="5"/>
        <v>24247.340371341037</v>
      </c>
      <c r="H15">
        <f t="shared" si="3"/>
        <v>0</v>
      </c>
      <c r="I15">
        <f t="shared" si="1"/>
        <v>1.0074932634454248</v>
      </c>
      <c r="J15">
        <v>27091</v>
      </c>
      <c r="K15">
        <v>27294</v>
      </c>
      <c r="M15">
        <v>37775</v>
      </c>
      <c r="O15">
        <v>49140</v>
      </c>
      <c r="Q15">
        <v>63873</v>
      </c>
      <c r="S15">
        <v>67405</v>
      </c>
      <c r="W15" s="3" t="e">
        <f t="shared" si="0"/>
        <v>#DIV/0!</v>
      </c>
      <c r="X15">
        <v>73862</v>
      </c>
      <c r="Z15">
        <v>76032</v>
      </c>
    </row>
    <row r="16" spans="1:27" s="3" customFormat="1" x14ac:dyDescent="0.25">
      <c r="A16" s="3" t="s">
        <v>13</v>
      </c>
      <c r="B16" s="3">
        <v>3949</v>
      </c>
      <c r="C16" s="3">
        <v>8127</v>
      </c>
      <c r="D16" s="3">
        <f>C16*I15</f>
        <v>8187.8977520209673</v>
      </c>
      <c r="F16" s="3">
        <v>9096</v>
      </c>
      <c r="G16" s="3">
        <f>F16*I15</f>
        <v>9164.1587242995829</v>
      </c>
      <c r="I16" s="3" t="e">
        <f t="shared" si="1"/>
        <v>#DIV/0!</v>
      </c>
      <c r="K16" s="3">
        <v>9535</v>
      </c>
      <c r="M16" s="3">
        <v>13000</v>
      </c>
      <c r="O16" s="3">
        <v>17596</v>
      </c>
      <c r="Q16" s="3">
        <v>21001</v>
      </c>
      <c r="S16" s="3">
        <v>19353</v>
      </c>
      <c r="T16" s="3">
        <v>18511</v>
      </c>
      <c r="U16" s="3">
        <f>S16/T16</f>
        <v>1.0454864675058073</v>
      </c>
      <c r="V16" s="3">
        <v>18609</v>
      </c>
      <c r="W16" s="3">
        <f t="shared" si="0"/>
        <v>1.0399806545220054</v>
      </c>
      <c r="X16" s="3">
        <v>19686</v>
      </c>
      <c r="Z16" s="3">
        <v>19497</v>
      </c>
    </row>
    <row r="17" spans="1:27" s="6" customFormat="1" x14ac:dyDescent="0.25">
      <c r="A17" s="6" t="s">
        <v>14</v>
      </c>
      <c r="D17" s="6" t="e">
        <f>C17*I17</f>
        <v>#DIV/0!</v>
      </c>
      <c r="E17" s="6" t="e">
        <f t="shared" si="2"/>
        <v>#DIV/0!</v>
      </c>
      <c r="G17" s="6" t="e">
        <f>F17*I17</f>
        <v>#DIV/0!</v>
      </c>
      <c r="H17" s="6" t="e">
        <f t="shared" si="3"/>
        <v>#DIV/0!</v>
      </c>
      <c r="I17" s="6" t="e">
        <f t="shared" si="1"/>
        <v>#DIV/0!</v>
      </c>
      <c r="Q17" s="6">
        <v>14973</v>
      </c>
      <c r="S17" s="6">
        <v>23203</v>
      </c>
      <c r="W17" s="6" t="e">
        <f t="shared" si="0"/>
        <v>#DIV/0!</v>
      </c>
      <c r="X17" s="6">
        <v>30004</v>
      </c>
      <c r="Z17" s="6">
        <v>37347</v>
      </c>
    </row>
    <row r="18" spans="1:27" x14ac:dyDescent="0.25">
      <c r="A18" t="s">
        <v>15</v>
      </c>
      <c r="B18" s="3">
        <v>49344</v>
      </c>
      <c r="C18">
        <v>121324</v>
      </c>
      <c r="D18">
        <f>C18*I18</f>
        <v>122168.87465181058</v>
      </c>
      <c r="E18">
        <f t="shared" si="2"/>
        <v>0</v>
      </c>
      <c r="F18">
        <v>149971</v>
      </c>
      <c r="G18">
        <f>F18*I18</f>
        <v>151015.3662952646</v>
      </c>
      <c r="H18">
        <f t="shared" si="3"/>
        <v>0</v>
      </c>
      <c r="I18">
        <f t="shared" si="1"/>
        <v>1.0069637883008355</v>
      </c>
      <c r="J18">
        <v>172320</v>
      </c>
      <c r="K18">
        <v>173520</v>
      </c>
      <c r="M18">
        <v>224350</v>
      </c>
      <c r="O18">
        <v>282487</v>
      </c>
      <c r="Q18">
        <v>327414</v>
      </c>
      <c r="S18">
        <v>325697</v>
      </c>
      <c r="W18" s="3" t="e">
        <f t="shared" si="0"/>
        <v>#DIV/0!</v>
      </c>
      <c r="X18">
        <v>335468</v>
      </c>
      <c r="Z18">
        <v>360624</v>
      </c>
    </row>
    <row r="19" spans="1:27" x14ac:dyDescent="0.25">
      <c r="A19" t="s">
        <v>16</v>
      </c>
      <c r="B19">
        <v>7010</v>
      </c>
      <c r="C19">
        <v>11762</v>
      </c>
      <c r="D19" s="3">
        <f>C19*I19</f>
        <v>11829.07686707517</v>
      </c>
      <c r="E19">
        <f t="shared" si="2"/>
        <v>0</v>
      </c>
      <c r="F19">
        <v>13584</v>
      </c>
      <c r="G19" s="3">
        <f>F19*I19</f>
        <v>13661.467451313476</v>
      </c>
      <c r="H19">
        <f t="shared" si="3"/>
        <v>0</v>
      </c>
      <c r="I19">
        <f t="shared" si="1"/>
        <v>1.0057028453558212</v>
      </c>
      <c r="J19">
        <v>16483</v>
      </c>
      <c r="K19">
        <v>16577</v>
      </c>
      <c r="M19">
        <v>22503</v>
      </c>
      <c r="O19">
        <v>27615</v>
      </c>
      <c r="Q19">
        <v>42433</v>
      </c>
      <c r="S19">
        <v>44593</v>
      </c>
      <c r="W19" s="3" t="e">
        <f t="shared" si="0"/>
        <v>#DIV/0!</v>
      </c>
      <c r="X19" s="3">
        <v>50691</v>
      </c>
      <c r="Z19">
        <v>56367</v>
      </c>
    </row>
    <row r="20" spans="1:27" s="3" customFormat="1" x14ac:dyDescent="0.25">
      <c r="A20" s="3" t="s">
        <v>17</v>
      </c>
      <c r="B20" s="3">
        <v>3222</v>
      </c>
      <c r="C20" s="3">
        <v>4986</v>
      </c>
      <c r="D20" s="3">
        <f>C20*I19</f>
        <v>5014.4343869441245</v>
      </c>
      <c r="E20" s="3">
        <f t="shared" si="2"/>
        <v>6212.1687967161724</v>
      </c>
      <c r="F20" s="3">
        <v>5036</v>
      </c>
      <c r="G20" s="3">
        <f>F20*I19</f>
        <v>5064.7195292119159</v>
      </c>
      <c r="H20" s="3">
        <f t="shared" si="3"/>
        <v>6274.4649138112009</v>
      </c>
      <c r="I20" s="3" t="e">
        <f t="shared" si="1"/>
        <v>#DIV/0!</v>
      </c>
      <c r="K20" s="3">
        <v>5780</v>
      </c>
      <c r="L20" s="3">
        <f>K20*U20</f>
        <v>7160.5953681450737</v>
      </c>
      <c r="M20" s="3">
        <v>9219</v>
      </c>
      <c r="N20" s="3">
        <f>M20*U20</f>
        <v>11421.02572645838</v>
      </c>
      <c r="O20" s="3">
        <v>13242</v>
      </c>
      <c r="P20" s="3">
        <f>O20*U20</f>
        <v>16404.948765566965</v>
      </c>
      <c r="Q20" s="3">
        <v>17156</v>
      </c>
      <c r="R20" s="3">
        <f>Q20*U20</f>
        <v>21253.836355691503</v>
      </c>
      <c r="S20" s="3">
        <v>22681</v>
      </c>
      <c r="T20" s="3">
        <v>18308</v>
      </c>
      <c r="U20" s="3">
        <f>S20/T20</f>
        <v>1.2388573301289054</v>
      </c>
      <c r="W20" s="3" t="e">
        <f t="shared" si="0"/>
        <v>#DIV/0!</v>
      </c>
      <c r="X20" s="3">
        <v>25875</v>
      </c>
      <c r="Z20" s="3">
        <v>28527</v>
      </c>
    </row>
    <row r="21" spans="1:27" x14ac:dyDescent="0.25">
      <c r="A21" t="s">
        <v>18</v>
      </c>
      <c r="B21" s="3">
        <v>57041</v>
      </c>
      <c r="C21">
        <v>118408</v>
      </c>
      <c r="D21">
        <f>C21*I21</f>
        <v>118785.61995052484</v>
      </c>
      <c r="E21">
        <f t="shared" si="2"/>
        <v>0</v>
      </c>
      <c r="F21">
        <v>132559</v>
      </c>
      <c r="G21">
        <f>F21*I21</f>
        <v>132981.74950190546</v>
      </c>
      <c r="H21">
        <f t="shared" si="3"/>
        <v>0</v>
      </c>
      <c r="I21">
        <f t="shared" si="1"/>
        <v>1.003189142207662</v>
      </c>
      <c r="J21">
        <v>149570</v>
      </c>
      <c r="K21">
        <v>150047</v>
      </c>
      <c r="M21">
        <v>193367</v>
      </c>
      <c r="O21">
        <v>247248</v>
      </c>
      <c r="Q21">
        <v>295296</v>
      </c>
      <c r="S21">
        <v>299373</v>
      </c>
      <c r="W21" s="3" t="e">
        <f t="shared" si="0"/>
        <v>#DIV/0!</v>
      </c>
      <c r="X21">
        <v>331443</v>
      </c>
      <c r="Z21">
        <v>360768</v>
      </c>
    </row>
    <row r="22" spans="1:27" x14ac:dyDescent="0.25">
      <c r="A22" t="s">
        <v>19</v>
      </c>
      <c r="B22">
        <v>6424</v>
      </c>
      <c r="C22">
        <v>16817</v>
      </c>
      <c r="D22">
        <f>C22*I22</f>
        <v>16840.202974091673</v>
      </c>
      <c r="E22">
        <f t="shared" si="2"/>
        <v>0</v>
      </c>
      <c r="F22">
        <v>18814</v>
      </c>
      <c r="G22">
        <f>F22*I22</f>
        <v>18839.958301395061</v>
      </c>
      <c r="H22">
        <f t="shared" si="3"/>
        <v>0</v>
      </c>
      <c r="I22">
        <f t="shared" si="1"/>
        <v>1.0013797332515713</v>
      </c>
      <c r="J22">
        <v>19569</v>
      </c>
      <c r="K22">
        <v>19596</v>
      </c>
      <c r="M22">
        <v>24694</v>
      </c>
      <c r="O22">
        <v>27946</v>
      </c>
      <c r="Q22">
        <v>29958</v>
      </c>
      <c r="S22" s="3">
        <v>28621</v>
      </c>
      <c r="W22" s="3" t="e">
        <f t="shared" si="0"/>
        <v>#DIV/0!</v>
      </c>
      <c r="X22">
        <v>27521</v>
      </c>
      <c r="Z22">
        <v>26886</v>
      </c>
    </row>
    <row r="23" spans="1:27" x14ac:dyDescent="0.25">
      <c r="A23" t="s">
        <v>20</v>
      </c>
      <c r="B23">
        <v>52390</v>
      </c>
      <c r="C23">
        <v>85103</v>
      </c>
      <c r="D23">
        <f>C23*I23</f>
        <v>85266.677320864037</v>
      </c>
      <c r="E23">
        <f t="shared" si="2"/>
        <v>0</v>
      </c>
      <c r="F23">
        <v>81961</v>
      </c>
      <c r="G23">
        <f>F23*I23</f>
        <v>82118.634359486008</v>
      </c>
      <c r="H23">
        <f t="shared" si="3"/>
        <v>0</v>
      </c>
      <c r="I23">
        <f t="shared" si="1"/>
        <v>1.00192328497073</v>
      </c>
      <c r="J23">
        <v>83191</v>
      </c>
      <c r="K23">
        <v>83351</v>
      </c>
      <c r="M23">
        <v>99370</v>
      </c>
      <c r="O23">
        <v>108734</v>
      </c>
      <c r="Q23">
        <v>113222</v>
      </c>
      <c r="S23">
        <v>108864</v>
      </c>
      <c r="W23" s="3" t="e">
        <f t="shared" si="0"/>
        <v>#DIV/0!</v>
      </c>
      <c r="X23">
        <v>112279</v>
      </c>
      <c r="Z23">
        <v>110997</v>
      </c>
    </row>
    <row r="24" spans="1:27" x14ac:dyDescent="0.25">
      <c r="A24" t="s">
        <v>21</v>
      </c>
      <c r="B24">
        <v>9953</v>
      </c>
      <c r="C24">
        <v>21862</v>
      </c>
      <c r="D24">
        <f>C24*I24</f>
        <v>21956.726842411888</v>
      </c>
      <c r="E24">
        <f t="shared" si="2"/>
        <v>0</v>
      </c>
      <c r="F24">
        <v>25772</v>
      </c>
      <c r="G24">
        <f>F24*I24</f>
        <v>25883.668657151182</v>
      </c>
      <c r="H24">
        <f t="shared" si="3"/>
        <v>0</v>
      </c>
      <c r="I24">
        <f t="shared" si="1"/>
        <v>1.0043329449461114</v>
      </c>
      <c r="J24">
        <v>27464</v>
      </c>
      <c r="K24">
        <v>27583</v>
      </c>
      <c r="M24">
        <v>35107</v>
      </c>
      <c r="O24">
        <v>46016</v>
      </c>
      <c r="Q24">
        <v>53762</v>
      </c>
      <c r="S24" s="3">
        <v>52807</v>
      </c>
      <c r="T24" s="3"/>
      <c r="U24" s="3"/>
      <c r="V24" s="3"/>
      <c r="W24" s="3" t="e">
        <f t="shared" si="0"/>
        <v>#DIV/0!</v>
      </c>
      <c r="X24">
        <v>49306</v>
      </c>
      <c r="Z24">
        <v>46773</v>
      </c>
    </row>
    <row r="25" spans="1:27" s="3" customFormat="1" x14ac:dyDescent="0.25">
      <c r="A25" s="3" t="s">
        <v>22</v>
      </c>
      <c r="C25" s="3">
        <v>2362</v>
      </c>
      <c r="D25" s="3">
        <f>C25*I15</f>
        <v>2379.6990882580935</v>
      </c>
      <c r="E25" s="3">
        <f t="shared" si="2"/>
        <v>2936.2216366182956</v>
      </c>
      <c r="F25" s="3">
        <v>2658</v>
      </c>
      <c r="G25" s="3">
        <f>F25*I15</f>
        <v>2677.9170942379392</v>
      </c>
      <c r="H25" s="3">
        <f t="shared" si="3"/>
        <v>3304.1816723672437</v>
      </c>
      <c r="K25" s="3">
        <v>3259</v>
      </c>
      <c r="L25" s="3">
        <f>K25*U25</f>
        <v>4021.1581207704321</v>
      </c>
      <c r="M25" s="3">
        <v>6488</v>
      </c>
      <c r="N25" s="3">
        <f>M25*U25</f>
        <v>8005.3003643935454</v>
      </c>
      <c r="O25" s="3">
        <v>11402</v>
      </c>
      <c r="P25" s="3">
        <f>O25*U25</f>
        <v>14068.501041124415</v>
      </c>
      <c r="Q25" s="3">
        <v>14759</v>
      </c>
      <c r="R25" s="3">
        <f>Q25*U25</f>
        <v>18210.577693909421</v>
      </c>
      <c r="S25" s="3">
        <v>18962</v>
      </c>
      <c r="T25" s="3">
        <v>15368</v>
      </c>
      <c r="U25" s="3">
        <f>S25/T25</f>
        <v>1.2338625715773035</v>
      </c>
      <c r="V25" s="3">
        <v>19272</v>
      </c>
      <c r="W25" s="3">
        <f t="shared" si="0"/>
        <v>0.98391448733914488</v>
      </c>
      <c r="X25" s="3">
        <v>19674</v>
      </c>
      <c r="Y25" s="3">
        <f>X25*W25</f>
        <v>19357.533623910338</v>
      </c>
      <c r="Z25" s="3">
        <v>19485</v>
      </c>
      <c r="AA25" s="3">
        <f>Z25*W25</f>
        <v>19171.573785803237</v>
      </c>
    </row>
    <row r="26" spans="1:27" s="2" customFormat="1" x14ac:dyDescent="0.25">
      <c r="A26" s="2" t="s">
        <v>23</v>
      </c>
      <c r="E26" s="2">
        <f t="shared" si="2"/>
        <v>0</v>
      </c>
      <c r="H26" s="2">
        <f t="shared" si="3"/>
        <v>0</v>
      </c>
      <c r="Q26" s="2">
        <v>18635</v>
      </c>
      <c r="R26" s="2">
        <f>Q26*U26</f>
        <v>19232.275641025644</v>
      </c>
      <c r="S26" s="2">
        <v>18193</v>
      </c>
      <c r="T26" s="2">
        <v>17628</v>
      </c>
      <c r="U26" s="2">
        <f>S26/T26</f>
        <v>1.0320512820512822</v>
      </c>
      <c r="V26" s="2">
        <v>17580</v>
      </c>
      <c r="W26" s="2">
        <f t="shared" si="0"/>
        <v>1.0348691695108077</v>
      </c>
      <c r="X26" s="2">
        <v>14601</v>
      </c>
      <c r="Y26" s="2">
        <f t="shared" ref="Y26:Y66" si="6">X26*W26</f>
        <v>15110.124744027302</v>
      </c>
      <c r="Z26" s="2">
        <v>11940</v>
      </c>
      <c r="AA26" s="2">
        <f t="shared" ref="AA26:AA66" si="7">Z26*W26</f>
        <v>12356.337883959044</v>
      </c>
    </row>
    <row r="27" spans="1:27" s="3" customFormat="1" x14ac:dyDescent="0.25">
      <c r="A27" s="3" t="s">
        <v>24</v>
      </c>
      <c r="C27" s="3">
        <v>1320</v>
      </c>
      <c r="D27" s="3">
        <f>C27*I6</f>
        <v>1343.1998458277126</v>
      </c>
      <c r="E27" s="3">
        <f t="shared" si="2"/>
        <v>0</v>
      </c>
      <c r="F27" s="3">
        <v>1733</v>
      </c>
      <c r="G27" s="3">
        <f>F27*I6</f>
        <v>1763.4585854692621</v>
      </c>
      <c r="H27" s="3">
        <f t="shared" si="3"/>
        <v>0</v>
      </c>
      <c r="K27" s="3">
        <v>2806</v>
      </c>
      <c r="M27" s="3">
        <v>5445</v>
      </c>
      <c r="O27" s="3">
        <v>8637</v>
      </c>
      <c r="Q27" s="3">
        <v>11542</v>
      </c>
      <c r="S27" s="3">
        <v>15954</v>
      </c>
      <c r="V27" s="3">
        <v>15075</v>
      </c>
      <c r="W27" s="3">
        <f t="shared" si="0"/>
        <v>1.0583084577114428</v>
      </c>
      <c r="X27" s="3">
        <v>16011</v>
      </c>
      <c r="Y27" s="3">
        <f t="shared" si="6"/>
        <v>16944.576716417909</v>
      </c>
      <c r="Z27" s="3">
        <v>16587</v>
      </c>
      <c r="AA27" s="3">
        <f t="shared" si="7"/>
        <v>17554.1623880597</v>
      </c>
    </row>
    <row r="28" spans="1:27" s="3" customFormat="1" x14ac:dyDescent="0.25">
      <c r="A28" s="3" t="s">
        <v>25</v>
      </c>
      <c r="B28" s="3">
        <v>2322</v>
      </c>
      <c r="C28" s="3">
        <v>5081</v>
      </c>
      <c r="D28" s="3">
        <f>C28*I22</f>
        <v>5088.0104246512337</v>
      </c>
      <c r="E28" s="3">
        <f>D28*U28</f>
        <v>5522.8304174635523</v>
      </c>
      <c r="F28" s="3">
        <v>5683</v>
      </c>
      <c r="G28" s="3">
        <f>F28*I22</f>
        <v>5690.8410240686799</v>
      </c>
      <c r="H28" s="3">
        <f t="shared" si="3"/>
        <v>6177.1787566316416</v>
      </c>
      <c r="K28" s="3">
        <v>7550</v>
      </c>
      <c r="L28" s="3">
        <f>K28*U28</f>
        <v>8195.2209550962216</v>
      </c>
      <c r="M28" s="3">
        <v>10176</v>
      </c>
      <c r="N28" s="3">
        <f>M28*U28</f>
        <v>11045.638203848896</v>
      </c>
      <c r="O28" s="3">
        <v>12672</v>
      </c>
      <c r="P28" s="3">
        <f>O28*U28</f>
        <v>13754.945687811833</v>
      </c>
      <c r="Q28" s="3">
        <v>14225</v>
      </c>
      <c r="R28" s="3">
        <f>Q28*U28</f>
        <v>15440.664647184605</v>
      </c>
      <c r="S28" s="3">
        <v>15229</v>
      </c>
      <c r="T28" s="3">
        <v>14030</v>
      </c>
      <c r="U28" s="3">
        <f>S28/T28</f>
        <v>1.0854597291518175</v>
      </c>
      <c r="V28" s="3">
        <v>14865</v>
      </c>
      <c r="W28" s="3">
        <f t="shared" si="0"/>
        <v>1.0244870501177261</v>
      </c>
      <c r="X28" s="3">
        <v>14880</v>
      </c>
      <c r="Y28" s="3">
        <f t="shared" si="6"/>
        <v>15244.367305751764</v>
      </c>
      <c r="Z28" s="3">
        <v>15852</v>
      </c>
      <c r="AA28" s="3">
        <f t="shared" si="7"/>
        <v>16240.168718466195</v>
      </c>
    </row>
    <row r="29" spans="1:27" s="3" customFormat="1" x14ac:dyDescent="0.25">
      <c r="A29" s="3" t="s">
        <v>26</v>
      </c>
      <c r="B29" s="3">
        <v>4836</v>
      </c>
      <c r="C29" s="3">
        <v>6995</v>
      </c>
      <c r="D29" s="3">
        <f>C29*I23</f>
        <v>7008.4533783702564</v>
      </c>
      <c r="E29" s="3">
        <f t="shared" si="2"/>
        <v>7891.9882454664112</v>
      </c>
      <c r="F29" s="3">
        <v>7487</v>
      </c>
      <c r="G29" s="3">
        <f>F29*I23</f>
        <v>7501.399634575856</v>
      </c>
      <c r="H29" s="3">
        <f t="shared" si="3"/>
        <v>8447.0787696650495</v>
      </c>
      <c r="K29" s="3">
        <v>7481</v>
      </c>
      <c r="L29" s="3">
        <f t="shared" ref="L29:L33" si="8">K29*U29</f>
        <v>8424.1074138476124</v>
      </c>
      <c r="M29" s="3">
        <v>9801</v>
      </c>
      <c r="N29" s="3">
        <f>M29*U29</f>
        <v>11036.582911792602</v>
      </c>
      <c r="O29" s="3">
        <v>13186</v>
      </c>
      <c r="P29" s="3">
        <f>O29*U29</f>
        <v>14848.319791337337</v>
      </c>
      <c r="Q29" s="3">
        <v>13480</v>
      </c>
      <c r="R29" s="3">
        <f>Q29*U29</f>
        <v>15179.383496680366</v>
      </c>
      <c r="S29" s="3">
        <v>14247</v>
      </c>
      <c r="T29" s="3">
        <v>12652</v>
      </c>
      <c r="U29" s="3">
        <f>S29/T29</f>
        <v>1.1260670249762883</v>
      </c>
      <c r="V29" s="3">
        <v>13005</v>
      </c>
      <c r="W29" s="3">
        <f t="shared" si="0"/>
        <v>1.0955017301038061</v>
      </c>
      <c r="X29" s="3">
        <v>12291</v>
      </c>
      <c r="Y29" s="3">
        <f t="shared" si="6"/>
        <v>13464.811764705881</v>
      </c>
      <c r="Z29" s="3">
        <v>11304</v>
      </c>
      <c r="AA29" s="3">
        <f t="shared" si="7"/>
        <v>12383.551557093424</v>
      </c>
    </row>
    <row r="30" spans="1:27" s="3" customFormat="1" x14ac:dyDescent="0.25">
      <c r="A30" s="3" t="s">
        <v>27</v>
      </c>
      <c r="B30" s="3">
        <v>2298</v>
      </c>
      <c r="C30" s="3">
        <v>4258</v>
      </c>
      <c r="D30" s="3">
        <f>C30*I15</f>
        <v>4289.9063157506189</v>
      </c>
      <c r="E30" s="3">
        <f t="shared" si="2"/>
        <v>4532.7980071178126</v>
      </c>
      <c r="F30" s="3">
        <v>4550</v>
      </c>
      <c r="G30" s="3">
        <f>F30*I15</f>
        <v>4584.0943486766828</v>
      </c>
      <c r="H30" s="3">
        <f t="shared" si="3"/>
        <v>4843.6427741629986</v>
      </c>
      <c r="K30" s="3">
        <v>5001</v>
      </c>
      <c r="L30" s="3">
        <f t="shared" si="8"/>
        <v>5284.1533509409046</v>
      </c>
      <c r="M30" s="3">
        <v>6784</v>
      </c>
      <c r="N30" s="3">
        <f>M30*U30</f>
        <v>7168.1056454275331</v>
      </c>
      <c r="O30" s="3">
        <v>9031</v>
      </c>
      <c r="P30" s="3">
        <f>O30*U30</f>
        <v>9542.3293166061394</v>
      </c>
      <c r="Q30" s="3">
        <v>10893</v>
      </c>
      <c r="R30" s="3">
        <f>Q30*U30</f>
        <v>11509.754539451964</v>
      </c>
      <c r="S30" s="3">
        <v>12802</v>
      </c>
      <c r="T30" s="3">
        <v>12116</v>
      </c>
      <c r="U30" s="3">
        <f>S30/T30</f>
        <v>1.0566193463189171</v>
      </c>
      <c r="V30" s="3">
        <v>12291</v>
      </c>
      <c r="W30" s="3">
        <f t="shared" si="0"/>
        <v>1.0415751362785779</v>
      </c>
      <c r="X30" s="3">
        <v>13209</v>
      </c>
      <c r="Y30" s="3">
        <f t="shared" si="6"/>
        <v>13758.165975103735</v>
      </c>
      <c r="Z30" s="3">
        <v>12855</v>
      </c>
      <c r="AA30" s="3">
        <f t="shared" si="7"/>
        <v>13389.448376861119</v>
      </c>
    </row>
    <row r="31" spans="1:27" s="3" customFormat="1" x14ac:dyDescent="0.25">
      <c r="A31" s="3" t="s">
        <v>28</v>
      </c>
      <c r="B31" s="3">
        <v>2131</v>
      </c>
      <c r="C31" s="3">
        <v>4501</v>
      </c>
      <c r="D31" s="3">
        <f>C31*I13</f>
        <v>4592.8934697711211</v>
      </c>
      <c r="E31" s="3">
        <f t="shared" si="2"/>
        <v>0</v>
      </c>
      <c r="F31" s="3">
        <v>4663</v>
      </c>
      <c r="G31" s="3">
        <f>F31*I13</f>
        <v>4758.2008996984532</v>
      </c>
      <c r="H31" s="3">
        <f t="shared" si="3"/>
        <v>0</v>
      </c>
      <c r="K31" s="3">
        <v>4840</v>
      </c>
      <c r="L31" s="3">
        <f t="shared" si="8"/>
        <v>0</v>
      </c>
      <c r="M31" s="3">
        <v>5620</v>
      </c>
      <c r="O31" s="3">
        <v>8142</v>
      </c>
      <c r="Q31" s="3">
        <v>8506</v>
      </c>
      <c r="S31" s="3">
        <v>11375</v>
      </c>
      <c r="V31" s="3">
        <v>10989</v>
      </c>
      <c r="W31" s="3">
        <f t="shared" si="0"/>
        <v>1.0351260351260352</v>
      </c>
      <c r="X31" s="3">
        <v>10611</v>
      </c>
      <c r="Y31" s="3">
        <f t="shared" si="6"/>
        <v>10983.72235872236</v>
      </c>
      <c r="Z31" s="3">
        <v>9639</v>
      </c>
      <c r="AA31" s="3">
        <f t="shared" si="7"/>
        <v>9977.5798525798527</v>
      </c>
    </row>
    <row r="32" spans="1:27" s="3" customFormat="1" x14ac:dyDescent="0.25">
      <c r="A32" s="3" t="s">
        <v>29</v>
      </c>
      <c r="B32" s="3">
        <v>3748</v>
      </c>
      <c r="C32" s="3">
        <v>5621</v>
      </c>
      <c r="D32" s="3">
        <f>C32*I19</f>
        <v>5653.055693745071</v>
      </c>
      <c r="E32" s="3">
        <f t="shared" si="2"/>
        <v>8349.8242611835321</v>
      </c>
      <c r="F32" s="3">
        <v>8115</v>
      </c>
      <c r="G32" s="3">
        <f>F32*I19</f>
        <v>8161.2785900624895</v>
      </c>
      <c r="H32" s="3">
        <f t="shared" si="3"/>
        <v>12054.585283669161</v>
      </c>
      <c r="K32" s="3">
        <v>8375</v>
      </c>
      <c r="L32" s="3">
        <f t="shared" si="8"/>
        <v>12370.261673662118</v>
      </c>
      <c r="M32" s="3">
        <v>8948</v>
      </c>
      <c r="N32" s="3">
        <f>M32*U32</f>
        <v>13216.609129066106</v>
      </c>
      <c r="O32" s="3">
        <v>8654</v>
      </c>
      <c r="P32" s="3">
        <f>O32*U32</f>
        <v>12782.357555089191</v>
      </c>
      <c r="Q32" s="3">
        <v>8282</v>
      </c>
      <c r="R32" s="3">
        <f>Q32*U32</f>
        <v>12232.896379853095</v>
      </c>
      <c r="S32" s="3">
        <v>11261</v>
      </c>
      <c r="T32" s="3">
        <v>7624</v>
      </c>
      <c r="U32" s="3">
        <f>S32/T32</f>
        <v>1.4770461699895068</v>
      </c>
      <c r="V32" s="3">
        <v>11151</v>
      </c>
      <c r="W32" s="3">
        <f t="shared" si="0"/>
        <v>1.0098645861357727</v>
      </c>
      <c r="X32" s="3">
        <v>10548</v>
      </c>
      <c r="Y32" s="3">
        <f t="shared" si="6"/>
        <v>10652.051654560129</v>
      </c>
      <c r="Z32" s="3">
        <v>9897</v>
      </c>
      <c r="AA32" s="3">
        <f t="shared" si="7"/>
        <v>9994.6298089857428</v>
      </c>
    </row>
    <row r="33" spans="1:27" s="3" customFormat="1" x14ac:dyDescent="0.25">
      <c r="A33" s="3" t="s">
        <v>30</v>
      </c>
      <c r="B33" s="3">
        <v>2354</v>
      </c>
      <c r="C33" s="3">
        <v>3915</v>
      </c>
      <c r="D33" s="3">
        <f>C33*I24</f>
        <v>3931.963479464026</v>
      </c>
      <c r="E33" s="3">
        <f t="shared" si="2"/>
        <v>5146.6903863731477</v>
      </c>
      <c r="F33" s="3">
        <v>4635</v>
      </c>
      <c r="G33" s="3">
        <f>F33*I24</f>
        <v>4655.0831998252261</v>
      </c>
      <c r="H33" s="3">
        <f t="shared" si="3"/>
        <v>6093.2081585797032</v>
      </c>
      <c r="K33" s="3">
        <v>5000</v>
      </c>
      <c r="L33" s="3">
        <f t="shared" si="8"/>
        <v>6544.6823365138471</v>
      </c>
      <c r="M33" s="3">
        <v>6567</v>
      </c>
      <c r="N33" s="3">
        <f>M33*U33</f>
        <v>8595.7857807772871</v>
      </c>
      <c r="O33" s="3">
        <v>8104</v>
      </c>
      <c r="P33" s="3">
        <f>O33*U33</f>
        <v>10607.621131021644</v>
      </c>
      <c r="Q33" s="3">
        <v>9179</v>
      </c>
      <c r="R33" s="3">
        <f>Q33*U33</f>
        <v>12014.727833372121</v>
      </c>
      <c r="S33" s="3">
        <v>11249</v>
      </c>
      <c r="T33" s="3">
        <v>8594</v>
      </c>
      <c r="U33" s="3">
        <f>S33/T33</f>
        <v>1.3089364673027695</v>
      </c>
      <c r="V33" s="3">
        <v>11331</v>
      </c>
      <c r="W33" s="3">
        <f t="shared" si="0"/>
        <v>0.9927632159562263</v>
      </c>
      <c r="X33" s="3">
        <v>10623</v>
      </c>
      <c r="Y33" s="3">
        <f t="shared" si="6"/>
        <v>10546.123643102992</v>
      </c>
      <c r="Z33" s="3">
        <v>9693</v>
      </c>
      <c r="AA33" s="3">
        <f t="shared" si="7"/>
        <v>9622.8538522637009</v>
      </c>
    </row>
    <row r="34" spans="1:27" s="3" customFormat="1" x14ac:dyDescent="0.25">
      <c r="A34" s="3" t="s">
        <v>31</v>
      </c>
      <c r="C34" s="3">
        <v>1922</v>
      </c>
      <c r="D34" s="3">
        <f>C34*I4</f>
        <v>1958.4594551722269</v>
      </c>
      <c r="F34" s="3">
        <v>2176</v>
      </c>
      <c r="G34" s="3">
        <f>F34*I4</f>
        <v>2217.2777182386917</v>
      </c>
      <c r="K34" s="3">
        <v>2370</v>
      </c>
      <c r="M34" s="3">
        <v>3306</v>
      </c>
      <c r="O34" s="3">
        <v>3902</v>
      </c>
      <c r="Q34" s="3">
        <v>4559</v>
      </c>
      <c r="S34" s="3">
        <v>4859</v>
      </c>
      <c r="V34" s="3">
        <v>4530</v>
      </c>
      <c r="W34" s="3">
        <f t="shared" ref="W34:W65" si="9">S34/V34</f>
        <v>1.0726269315673289</v>
      </c>
      <c r="X34" s="3">
        <v>4167</v>
      </c>
      <c r="Y34" s="3">
        <f t="shared" si="6"/>
        <v>4469.6364238410597</v>
      </c>
      <c r="Z34" s="3">
        <v>3942</v>
      </c>
      <c r="AA34" s="3">
        <f t="shared" si="7"/>
        <v>4228.2953642384109</v>
      </c>
    </row>
    <row r="35" spans="1:27" x14ac:dyDescent="0.25">
      <c r="A35" t="s">
        <v>32</v>
      </c>
      <c r="C35">
        <v>1715</v>
      </c>
      <c r="D35">
        <f>C35*I6</f>
        <v>1745.1422239352478</v>
      </c>
      <c r="F35">
        <v>1942</v>
      </c>
      <c r="G35">
        <f>F35*I6</f>
        <v>1976.1318943919832</v>
      </c>
      <c r="K35">
        <v>2870</v>
      </c>
      <c r="M35">
        <v>4187</v>
      </c>
      <c r="O35">
        <v>5401</v>
      </c>
      <c r="Q35">
        <v>5559</v>
      </c>
      <c r="S35" s="3">
        <v>6750</v>
      </c>
      <c r="T35" s="3"/>
      <c r="U35" s="3"/>
      <c r="V35" s="3">
        <v>7041</v>
      </c>
      <c r="W35" s="3">
        <f t="shared" si="9"/>
        <v>0.95867064337452068</v>
      </c>
      <c r="X35" s="3">
        <v>6324</v>
      </c>
      <c r="Y35">
        <f t="shared" si="6"/>
        <v>6062.6331487004691</v>
      </c>
      <c r="Z35">
        <v>5895</v>
      </c>
      <c r="AA35">
        <f t="shared" si="7"/>
        <v>5651.3634426927993</v>
      </c>
    </row>
    <row r="36" spans="1:27" x14ac:dyDescent="0.25">
      <c r="A36" t="s">
        <v>33</v>
      </c>
      <c r="B36">
        <v>989</v>
      </c>
      <c r="C36">
        <v>2021</v>
      </c>
      <c r="D36">
        <f>C36*I6</f>
        <v>2056.5203700134903</v>
      </c>
      <c r="F36">
        <v>2203</v>
      </c>
      <c r="G36">
        <f>F36*I6</f>
        <v>2241.7191366351899</v>
      </c>
      <c r="K36">
        <v>2567</v>
      </c>
      <c r="M36">
        <v>3408</v>
      </c>
      <c r="O36">
        <v>5962</v>
      </c>
      <c r="Q36">
        <v>7841</v>
      </c>
      <c r="S36" s="3">
        <v>10145</v>
      </c>
      <c r="T36" s="3"/>
      <c r="U36" s="3"/>
      <c r="V36" s="3">
        <v>9351</v>
      </c>
      <c r="W36" s="3">
        <f t="shared" si="9"/>
        <v>1.0849107047374613</v>
      </c>
      <c r="X36" s="3">
        <v>10524</v>
      </c>
      <c r="Y36">
        <f t="shared" si="6"/>
        <v>11417.600256657042</v>
      </c>
      <c r="Z36">
        <v>11565</v>
      </c>
      <c r="AA36">
        <f t="shared" si="7"/>
        <v>12546.992300288741</v>
      </c>
    </row>
    <row r="37" spans="1:27" x14ac:dyDescent="0.25">
      <c r="A37" t="s">
        <v>34</v>
      </c>
      <c r="C37">
        <v>1629</v>
      </c>
      <c r="D37">
        <f>C37*I6</f>
        <v>1657.6307188282906</v>
      </c>
      <c r="F37">
        <v>2224</v>
      </c>
      <c r="G37">
        <f>F37*I6</f>
        <v>2263.0882250915397</v>
      </c>
      <c r="K37">
        <v>3017</v>
      </c>
      <c r="M37">
        <v>4614</v>
      </c>
      <c r="O37">
        <v>6719</v>
      </c>
      <c r="Q37">
        <v>7619</v>
      </c>
      <c r="S37" s="3">
        <v>8096</v>
      </c>
      <c r="T37" s="3"/>
      <c r="U37" s="3"/>
      <c r="V37" s="3">
        <v>7824</v>
      </c>
      <c r="W37" s="3">
        <f t="shared" si="9"/>
        <v>1.0347648261758691</v>
      </c>
      <c r="X37" s="3">
        <v>8472</v>
      </c>
      <c r="Y37">
        <f t="shared" si="6"/>
        <v>8766.5276073619625</v>
      </c>
      <c r="Z37">
        <v>8919</v>
      </c>
      <c r="AA37">
        <f t="shared" si="7"/>
        <v>9229.067484662577</v>
      </c>
    </row>
    <row r="38" spans="1:27" s="3" customFormat="1" x14ac:dyDescent="0.25">
      <c r="A38" s="3" t="s">
        <v>35</v>
      </c>
      <c r="C38" s="3">
        <v>2322</v>
      </c>
      <c r="D38" s="3">
        <f>C38*I6</f>
        <v>2362.8106378878397</v>
      </c>
      <c r="F38" s="3">
        <v>2499</v>
      </c>
      <c r="G38" s="3">
        <f>F38*I6</f>
        <v>2542.9215263056467</v>
      </c>
      <c r="K38" s="3">
        <v>2720</v>
      </c>
      <c r="M38" s="3">
        <v>3781</v>
      </c>
      <c r="O38" s="3">
        <v>4825</v>
      </c>
      <c r="Q38" s="3">
        <v>4840</v>
      </c>
      <c r="V38" s="3">
        <v>4521</v>
      </c>
      <c r="W38" s="3">
        <f t="shared" si="9"/>
        <v>0</v>
      </c>
      <c r="X38" s="3">
        <v>4299</v>
      </c>
      <c r="Y38" s="3">
        <f t="shared" si="6"/>
        <v>0</v>
      </c>
      <c r="Z38" s="3">
        <v>3885</v>
      </c>
      <c r="AA38" s="3">
        <f t="shared" si="7"/>
        <v>0</v>
      </c>
    </row>
    <row r="39" spans="1:27" x14ac:dyDescent="0.25">
      <c r="A39" t="s">
        <v>36</v>
      </c>
      <c r="C39">
        <v>2287</v>
      </c>
      <c r="D39">
        <f>C39*I13</f>
        <v>2333.6919274309162</v>
      </c>
      <c r="F39">
        <v>2640</v>
      </c>
      <c r="G39">
        <f>F39*I13</f>
        <v>2693.8988580750411</v>
      </c>
      <c r="K39">
        <v>2706</v>
      </c>
      <c r="M39">
        <v>3344</v>
      </c>
      <c r="O39">
        <v>5864</v>
      </c>
      <c r="Q39">
        <v>6479</v>
      </c>
      <c r="S39" s="3">
        <v>6387</v>
      </c>
      <c r="T39" s="3"/>
      <c r="U39" s="3"/>
      <c r="V39" s="3">
        <v>6066</v>
      </c>
      <c r="W39" s="3">
        <f t="shared" si="9"/>
        <v>1.052917903066271</v>
      </c>
      <c r="X39" s="3">
        <v>5331</v>
      </c>
      <c r="Y39">
        <f t="shared" si="6"/>
        <v>5613.1053412462907</v>
      </c>
      <c r="Z39">
        <v>4344</v>
      </c>
      <c r="AA39">
        <f t="shared" si="7"/>
        <v>4573.8753709198809</v>
      </c>
    </row>
    <row r="40" spans="1:27" s="2" customFormat="1" x14ac:dyDescent="0.25">
      <c r="A40" s="2" t="s">
        <v>37</v>
      </c>
      <c r="B40" s="2">
        <v>4009</v>
      </c>
      <c r="C40" s="2">
        <v>4658</v>
      </c>
      <c r="F40" s="2">
        <v>4268</v>
      </c>
      <c r="K40" s="2">
        <v>4200</v>
      </c>
      <c r="M40" s="2">
        <v>5001</v>
      </c>
      <c r="O40" s="2">
        <v>5599</v>
      </c>
      <c r="W40" s="2" t="e">
        <f t="shared" si="9"/>
        <v>#DIV/0!</v>
      </c>
      <c r="Y40" s="2" t="e">
        <f t="shared" si="6"/>
        <v>#DIV/0!</v>
      </c>
      <c r="AA40" s="2" t="e">
        <f t="shared" si="7"/>
        <v>#DIV/0!</v>
      </c>
    </row>
    <row r="41" spans="1:27" x14ac:dyDescent="0.25">
      <c r="A41" t="s">
        <v>38</v>
      </c>
      <c r="C41">
        <v>3717</v>
      </c>
      <c r="D41">
        <f>C41*I6</f>
        <v>3782.3286567739451</v>
      </c>
      <c r="F41">
        <v>3916</v>
      </c>
      <c r="G41">
        <f>F41*I6</f>
        <v>3984.8262092888804</v>
      </c>
      <c r="K41">
        <v>3756</v>
      </c>
      <c r="M41">
        <v>3075</v>
      </c>
      <c r="O41">
        <v>3169</v>
      </c>
      <c r="Q41">
        <v>3415</v>
      </c>
      <c r="S41" s="3">
        <v>3679</v>
      </c>
      <c r="T41" s="3"/>
      <c r="U41" s="3"/>
      <c r="V41" s="3">
        <v>3873</v>
      </c>
      <c r="W41" s="3">
        <f t="shared" si="9"/>
        <v>0.94990963077717527</v>
      </c>
      <c r="X41" s="3">
        <v>4398</v>
      </c>
      <c r="Y41">
        <f t="shared" si="6"/>
        <v>4177.7025561580167</v>
      </c>
      <c r="Z41">
        <v>4101</v>
      </c>
      <c r="AA41">
        <f t="shared" si="7"/>
        <v>3895.5793958171957</v>
      </c>
    </row>
    <row r="42" spans="1:27" x14ac:dyDescent="0.25">
      <c r="A42" t="s">
        <v>39</v>
      </c>
      <c r="C42">
        <v>1528</v>
      </c>
      <c r="D42">
        <f>C42*I6</f>
        <v>1554.8555791096551</v>
      </c>
      <c r="F42">
        <v>1796</v>
      </c>
      <c r="G42">
        <f>F42*I6</f>
        <v>1827.5658508383119</v>
      </c>
      <c r="K42">
        <v>2175</v>
      </c>
      <c r="M42">
        <v>3552</v>
      </c>
      <c r="O42">
        <v>4497</v>
      </c>
      <c r="Q42">
        <v>4783</v>
      </c>
      <c r="S42" s="3">
        <v>5281</v>
      </c>
      <c r="T42" s="3"/>
      <c r="U42" s="3"/>
      <c r="V42" s="3">
        <v>5253</v>
      </c>
      <c r="W42" s="3">
        <f t="shared" si="9"/>
        <v>1.0053302874547878</v>
      </c>
      <c r="X42" s="3">
        <v>5637</v>
      </c>
      <c r="Y42">
        <f t="shared" si="6"/>
        <v>5667.0468303826392</v>
      </c>
      <c r="Z42">
        <v>6051</v>
      </c>
      <c r="AA42">
        <f t="shared" si="7"/>
        <v>6083.2535693889213</v>
      </c>
    </row>
    <row r="43" spans="1:27" s="2" customFormat="1" x14ac:dyDescent="0.25">
      <c r="A43" s="2" t="s">
        <v>40</v>
      </c>
      <c r="K43" s="2">
        <v>989</v>
      </c>
      <c r="M43" s="2">
        <v>3432</v>
      </c>
      <c r="O43" s="2">
        <v>6815</v>
      </c>
      <c r="Q43" s="2">
        <v>10103</v>
      </c>
      <c r="S43" s="2">
        <v>12375</v>
      </c>
      <c r="W43" s="2" t="e">
        <f t="shared" si="9"/>
        <v>#DIV/0!</v>
      </c>
      <c r="Y43" s="2" t="e">
        <f t="shared" si="6"/>
        <v>#DIV/0!</v>
      </c>
      <c r="AA43" s="2" t="e">
        <f t="shared" si="7"/>
        <v>#DIV/0!</v>
      </c>
    </row>
    <row r="44" spans="1:27" x14ac:dyDescent="0.25">
      <c r="A44" t="s">
        <v>41</v>
      </c>
      <c r="C44">
        <v>2168</v>
      </c>
      <c r="D44">
        <f>C44*I10</f>
        <v>2285.4765067345293</v>
      </c>
      <c r="F44">
        <v>2524</v>
      </c>
      <c r="G44">
        <f>F44*I10</f>
        <v>2660.7669294270995</v>
      </c>
      <c r="K44">
        <v>2857</v>
      </c>
      <c r="M44">
        <v>3796</v>
      </c>
      <c r="O44">
        <v>5100</v>
      </c>
      <c r="Q44">
        <v>5466</v>
      </c>
      <c r="S44" s="3">
        <v>5094</v>
      </c>
      <c r="T44" s="3"/>
      <c r="U44" s="3"/>
      <c r="V44" s="3">
        <v>4914</v>
      </c>
      <c r="W44" s="3">
        <f t="shared" si="9"/>
        <v>1.0366300366300367</v>
      </c>
      <c r="X44" s="3">
        <v>4590</v>
      </c>
      <c r="Y44">
        <f t="shared" si="6"/>
        <v>4758.1318681318689</v>
      </c>
      <c r="Z44">
        <v>3801</v>
      </c>
      <c r="AA44">
        <f t="shared" si="7"/>
        <v>3940.2307692307695</v>
      </c>
    </row>
    <row r="45" spans="1:27" s="2" customFormat="1" x14ac:dyDescent="0.25">
      <c r="A45" s="2" t="s">
        <v>42</v>
      </c>
      <c r="C45" s="2">
        <v>1086</v>
      </c>
      <c r="M45" s="2">
        <v>3398</v>
      </c>
      <c r="O45" s="2">
        <v>6253</v>
      </c>
      <c r="V45" s="2">
        <v>8430</v>
      </c>
      <c r="W45" s="2">
        <f t="shared" si="9"/>
        <v>0</v>
      </c>
      <c r="Y45" s="2">
        <f t="shared" si="6"/>
        <v>0</v>
      </c>
      <c r="AA45" s="2">
        <f t="shared" si="7"/>
        <v>0</v>
      </c>
    </row>
    <row r="46" spans="1:27" x14ac:dyDescent="0.25">
      <c r="A46" t="s">
        <v>43</v>
      </c>
      <c r="B46">
        <v>2315</v>
      </c>
      <c r="C46">
        <v>4244</v>
      </c>
      <c r="D46">
        <f>C46*I15</f>
        <v>4275.8014100623832</v>
      </c>
      <c r="F46">
        <v>4385</v>
      </c>
      <c r="G46">
        <f>F46*I15</f>
        <v>4417.8579602081873</v>
      </c>
      <c r="K46">
        <v>4334</v>
      </c>
      <c r="M46">
        <v>5294</v>
      </c>
      <c r="O46">
        <v>5728</v>
      </c>
      <c r="Q46">
        <v>5638</v>
      </c>
      <c r="S46" s="3">
        <v>5873</v>
      </c>
      <c r="T46" s="3"/>
      <c r="U46" s="3"/>
      <c r="V46" s="3">
        <v>5595</v>
      </c>
      <c r="W46" s="3">
        <f t="shared" si="9"/>
        <v>1.0496872207327972</v>
      </c>
      <c r="X46" s="3">
        <v>5091</v>
      </c>
      <c r="Y46">
        <f t="shared" si="6"/>
        <v>5343.9576407506702</v>
      </c>
      <c r="Z46">
        <v>4881</v>
      </c>
      <c r="AA46">
        <f t="shared" si="7"/>
        <v>5123.5233243967832</v>
      </c>
    </row>
    <row r="47" spans="1:27" x14ac:dyDescent="0.25">
      <c r="A47" t="s">
        <v>44</v>
      </c>
      <c r="C47">
        <v>1715</v>
      </c>
      <c r="D47">
        <f>C47*I13</f>
        <v>1750.0138415146573</v>
      </c>
      <c r="F47">
        <v>1971</v>
      </c>
      <c r="G47">
        <f>F47*I13</f>
        <v>2011.2403974492067</v>
      </c>
      <c r="K47">
        <v>2295</v>
      </c>
      <c r="M47">
        <v>3675</v>
      </c>
      <c r="O47">
        <v>4790</v>
      </c>
      <c r="Q47">
        <v>6036</v>
      </c>
      <c r="S47" s="3">
        <v>6482</v>
      </c>
      <c r="T47" s="3"/>
      <c r="U47" s="3"/>
      <c r="V47" s="3">
        <v>6537</v>
      </c>
      <c r="W47" s="3">
        <f t="shared" si="9"/>
        <v>0.99158635459690991</v>
      </c>
      <c r="X47" s="3">
        <v>5991</v>
      </c>
      <c r="Y47">
        <f t="shared" si="6"/>
        <v>5940.593850390087</v>
      </c>
      <c r="Z47" s="3">
        <v>5700</v>
      </c>
      <c r="AA47">
        <f t="shared" si="7"/>
        <v>5652.0422212023868</v>
      </c>
    </row>
    <row r="48" spans="1:27" x14ac:dyDescent="0.25">
      <c r="A48" t="s">
        <v>45</v>
      </c>
      <c r="B48">
        <v>2027</v>
      </c>
      <c r="C48">
        <v>3332</v>
      </c>
      <c r="D48">
        <f>C48*I13</f>
        <v>3400.0268920856197</v>
      </c>
      <c r="F48">
        <v>3755</v>
      </c>
      <c r="G48">
        <f>F48*I13</f>
        <v>3831.6629591180981</v>
      </c>
      <c r="K48">
        <v>3854</v>
      </c>
      <c r="M48">
        <v>4811</v>
      </c>
      <c r="O48">
        <v>5441</v>
      </c>
      <c r="Q48">
        <v>5444</v>
      </c>
      <c r="S48" s="3">
        <v>5528</v>
      </c>
      <c r="T48" s="3"/>
      <c r="U48" s="3"/>
      <c r="V48" s="3">
        <v>5475</v>
      </c>
      <c r="W48" s="3">
        <f t="shared" si="9"/>
        <v>1.0096803652968036</v>
      </c>
      <c r="X48" s="3">
        <v>5268</v>
      </c>
      <c r="Y48">
        <f t="shared" si="6"/>
        <v>5318.9961643835613</v>
      </c>
      <c r="Z48" s="3">
        <v>4818</v>
      </c>
      <c r="AA48">
        <f t="shared" si="7"/>
        <v>4864.6399999999994</v>
      </c>
    </row>
    <row r="49" spans="1:27" x14ac:dyDescent="0.25">
      <c r="A49" t="s">
        <v>46</v>
      </c>
      <c r="B49">
        <v>1101</v>
      </c>
      <c r="C49">
        <v>2710</v>
      </c>
      <c r="D49">
        <f>C49*I14</f>
        <v>2783.0954321418872</v>
      </c>
      <c r="F49">
        <v>2737</v>
      </c>
      <c r="G49">
        <f>F49*I14</f>
        <v>2810.8236892148875</v>
      </c>
      <c r="K49">
        <v>2915</v>
      </c>
      <c r="M49">
        <v>4001</v>
      </c>
      <c r="O49">
        <v>4731</v>
      </c>
      <c r="Q49">
        <v>4910</v>
      </c>
      <c r="S49" s="3">
        <v>5059</v>
      </c>
      <c r="T49" s="3"/>
      <c r="U49" s="3"/>
      <c r="V49" s="3">
        <v>5085</v>
      </c>
      <c r="W49" s="3">
        <f t="shared" si="9"/>
        <v>0.99488692232055065</v>
      </c>
      <c r="X49" s="3">
        <v>4872</v>
      </c>
      <c r="Y49">
        <f t="shared" si="6"/>
        <v>4847.0890855457228</v>
      </c>
      <c r="Z49" s="3">
        <v>4248</v>
      </c>
      <c r="AA49">
        <f t="shared" si="7"/>
        <v>4226.2796460176987</v>
      </c>
    </row>
    <row r="50" spans="1:27" x14ac:dyDescent="0.25">
      <c r="A50" t="s">
        <v>47</v>
      </c>
      <c r="B50">
        <v>2922</v>
      </c>
      <c r="C50">
        <v>3866</v>
      </c>
      <c r="D50">
        <f>C50*I19</f>
        <v>3888.0472001456046</v>
      </c>
      <c r="F50">
        <v>4241</v>
      </c>
      <c r="G50">
        <f>F50*I19</f>
        <v>4265.1857671540374</v>
      </c>
      <c r="K50">
        <v>4686</v>
      </c>
      <c r="M50">
        <v>5522</v>
      </c>
      <c r="O50">
        <v>5271</v>
      </c>
      <c r="Q50">
        <v>4988</v>
      </c>
      <c r="S50" s="3">
        <v>4660</v>
      </c>
      <c r="T50" s="3"/>
      <c r="U50" s="3"/>
      <c r="V50" s="3">
        <v>5163</v>
      </c>
      <c r="W50" s="3">
        <f t="shared" si="9"/>
        <v>0.90257602169281426</v>
      </c>
      <c r="X50" s="3">
        <v>4920</v>
      </c>
      <c r="Y50">
        <f t="shared" si="6"/>
        <v>4440.6740267286459</v>
      </c>
      <c r="Z50" s="3">
        <v>4491</v>
      </c>
      <c r="AA50">
        <f t="shared" si="7"/>
        <v>4053.4689134224286</v>
      </c>
    </row>
    <row r="51" spans="1:27" x14ac:dyDescent="0.25">
      <c r="A51" t="s">
        <v>48</v>
      </c>
      <c r="B51">
        <v>1946</v>
      </c>
      <c r="C51">
        <v>2389</v>
      </c>
      <c r="D51" s="3">
        <f>C51*I19</f>
        <v>2402.6240975550568</v>
      </c>
      <c r="E51" s="3"/>
      <c r="F51" s="3">
        <v>2689</v>
      </c>
      <c r="G51" s="3">
        <f>F51*I19</f>
        <v>2704.3349511618035</v>
      </c>
      <c r="H51" s="3"/>
      <c r="K51">
        <v>2742</v>
      </c>
      <c r="M51">
        <v>3032</v>
      </c>
      <c r="O51">
        <v>3258</v>
      </c>
      <c r="Q51">
        <v>3530</v>
      </c>
      <c r="S51" s="3">
        <v>3427</v>
      </c>
      <c r="T51" s="3"/>
      <c r="U51" s="3"/>
      <c r="V51" s="3">
        <v>3603</v>
      </c>
      <c r="W51" s="3">
        <f t="shared" si="9"/>
        <v>0.95115181792950321</v>
      </c>
      <c r="X51" s="3">
        <v>3492</v>
      </c>
      <c r="Y51">
        <f t="shared" si="6"/>
        <v>3321.4221482098251</v>
      </c>
      <c r="Z51" s="3">
        <v>3228</v>
      </c>
      <c r="AA51">
        <f t="shared" si="7"/>
        <v>3070.3180682764364</v>
      </c>
    </row>
    <row r="52" spans="1:27" s="3" customFormat="1" x14ac:dyDescent="0.25">
      <c r="A52" s="3" t="s">
        <v>49</v>
      </c>
      <c r="B52" s="3">
        <v>1768</v>
      </c>
      <c r="C52" s="3">
        <v>2086</v>
      </c>
      <c r="D52" s="3">
        <f>C52*I21</f>
        <v>2092.6525506451831</v>
      </c>
      <c r="F52" s="3">
        <v>2239</v>
      </c>
      <c r="G52" s="3">
        <f>F52*I21</f>
        <v>2246.1404894029552</v>
      </c>
      <c r="K52" s="3">
        <v>2385</v>
      </c>
      <c r="M52" s="3">
        <v>3150</v>
      </c>
      <c r="O52" s="3">
        <v>4117</v>
      </c>
      <c r="Q52" s="3">
        <v>5991</v>
      </c>
      <c r="S52" s="3">
        <v>6674</v>
      </c>
      <c r="V52" s="3">
        <v>8037</v>
      </c>
      <c r="W52" s="4">
        <f t="shared" si="9"/>
        <v>0.83040935672514615</v>
      </c>
      <c r="X52" s="3">
        <v>9390</v>
      </c>
      <c r="Y52" s="3">
        <f t="shared" si="6"/>
        <v>7797.5438596491222</v>
      </c>
      <c r="Z52" s="3">
        <v>11100</v>
      </c>
      <c r="AA52" s="3">
        <f t="shared" si="7"/>
        <v>9217.5438596491222</v>
      </c>
    </row>
    <row r="53" spans="1:27" x14ac:dyDescent="0.25">
      <c r="A53" t="s">
        <v>50</v>
      </c>
      <c r="B53" s="3">
        <v>1359</v>
      </c>
      <c r="C53">
        <v>2203</v>
      </c>
      <c r="D53">
        <f>C53*I22</f>
        <v>2206.0395523532115</v>
      </c>
      <c r="F53">
        <v>2315</v>
      </c>
      <c r="G53">
        <f>F53*I22</f>
        <v>2318.1940824773874</v>
      </c>
      <c r="K53">
        <v>2351</v>
      </c>
      <c r="M53">
        <v>3107</v>
      </c>
      <c r="O53">
        <v>3300</v>
      </c>
      <c r="Q53">
        <v>3378</v>
      </c>
      <c r="S53" s="3">
        <v>3250</v>
      </c>
      <c r="T53" s="3"/>
      <c r="U53" s="3"/>
      <c r="V53" s="3">
        <v>3039</v>
      </c>
      <c r="W53" s="3">
        <f t="shared" si="9"/>
        <v>1.0694307337940112</v>
      </c>
      <c r="X53" s="3">
        <v>2769</v>
      </c>
      <c r="Y53">
        <f t="shared" si="6"/>
        <v>2961.253701875617</v>
      </c>
      <c r="Z53" s="3">
        <v>2571</v>
      </c>
      <c r="AA53">
        <f t="shared" si="7"/>
        <v>2749.5064165844028</v>
      </c>
    </row>
    <row r="54" spans="1:27" x14ac:dyDescent="0.25">
      <c r="A54" t="s">
        <v>51</v>
      </c>
      <c r="B54" s="3">
        <v>1017</v>
      </c>
      <c r="C54">
        <v>1542</v>
      </c>
      <c r="D54">
        <f>C54*I23</f>
        <v>1544.9657054248657</v>
      </c>
      <c r="F54">
        <v>1546</v>
      </c>
      <c r="G54">
        <f>F54*I23</f>
        <v>1548.9733985647485</v>
      </c>
      <c r="K54">
        <v>1692</v>
      </c>
      <c r="M54">
        <v>3323</v>
      </c>
      <c r="O54">
        <v>4419</v>
      </c>
      <c r="Q54">
        <v>4740</v>
      </c>
      <c r="S54" s="3">
        <v>4227</v>
      </c>
      <c r="T54" s="3"/>
      <c r="U54" s="3"/>
      <c r="V54" s="3">
        <v>4266</v>
      </c>
      <c r="W54" s="3">
        <f t="shared" si="9"/>
        <v>0.99085794655414905</v>
      </c>
      <c r="X54" s="3">
        <v>3843</v>
      </c>
      <c r="Y54">
        <f t="shared" si="6"/>
        <v>3807.8670886075947</v>
      </c>
      <c r="Z54" s="3">
        <v>3678</v>
      </c>
      <c r="AA54">
        <f t="shared" si="7"/>
        <v>3644.3755274261603</v>
      </c>
    </row>
    <row r="55" spans="1:27" s="3" customFormat="1" x14ac:dyDescent="0.25">
      <c r="A55" s="3" t="s">
        <v>52</v>
      </c>
      <c r="B55" s="3">
        <v>888</v>
      </c>
      <c r="C55" s="3">
        <v>2274</v>
      </c>
      <c r="D55" s="3">
        <f>C55*I6</f>
        <v>2313.9670071304686</v>
      </c>
      <c r="F55" s="3">
        <v>2366</v>
      </c>
      <c r="G55" s="3">
        <f>F55*I6</f>
        <v>2407.583966082097</v>
      </c>
      <c r="K55" s="3">
        <v>2426</v>
      </c>
      <c r="M55" s="3">
        <v>2854</v>
      </c>
      <c r="O55" s="3">
        <v>3212</v>
      </c>
      <c r="Q55" s="3">
        <v>3202</v>
      </c>
      <c r="S55" s="3">
        <v>3510</v>
      </c>
      <c r="V55" s="3">
        <v>3588</v>
      </c>
      <c r="W55" s="3">
        <f t="shared" si="9"/>
        <v>0.97826086956521741</v>
      </c>
      <c r="X55" s="3">
        <v>3549</v>
      </c>
      <c r="Y55" s="3">
        <f t="shared" si="6"/>
        <v>3471.8478260869565</v>
      </c>
      <c r="Z55" s="3">
        <v>3447</v>
      </c>
      <c r="AA55" s="3">
        <f t="shared" si="7"/>
        <v>3372.0652173913045</v>
      </c>
    </row>
    <row r="56" spans="1:27" x14ac:dyDescent="0.25">
      <c r="A56" t="s">
        <v>53</v>
      </c>
      <c r="C56">
        <v>1733</v>
      </c>
      <c r="D56">
        <f>C56*I6</f>
        <v>1763.4585854692621</v>
      </c>
      <c r="F56">
        <v>2149</v>
      </c>
      <c r="G56">
        <f>F56*I6</f>
        <v>2186.7700520331473</v>
      </c>
      <c r="K56">
        <v>2253</v>
      </c>
      <c r="M56">
        <v>2871</v>
      </c>
      <c r="O56">
        <v>3129</v>
      </c>
      <c r="Q56">
        <v>3796</v>
      </c>
      <c r="S56" s="3">
        <v>3661</v>
      </c>
      <c r="T56" s="3"/>
      <c r="U56" s="3"/>
      <c r="V56" s="3">
        <v>3816</v>
      </c>
      <c r="W56" s="3">
        <f t="shared" si="9"/>
        <v>0.95938155136268344</v>
      </c>
      <c r="X56" s="3">
        <v>3774</v>
      </c>
      <c r="Y56">
        <f t="shared" si="6"/>
        <v>3620.7059748427673</v>
      </c>
      <c r="Z56" s="3">
        <v>3498</v>
      </c>
      <c r="AA56">
        <f t="shared" si="7"/>
        <v>3355.9166666666665</v>
      </c>
    </row>
    <row r="57" spans="1:27" s="3" customFormat="1" x14ac:dyDescent="0.25">
      <c r="A57" s="3" t="s">
        <v>54</v>
      </c>
      <c r="C57" s="3">
        <v>1746</v>
      </c>
      <c r="D57" s="3">
        <f>C57*I12</f>
        <v>1798.0943214629451</v>
      </c>
      <c r="F57" s="3">
        <v>2050</v>
      </c>
      <c r="G57" s="3">
        <f>F57*I12</f>
        <v>2111.1645813282003</v>
      </c>
      <c r="K57" s="3">
        <v>2095</v>
      </c>
      <c r="M57" s="3">
        <v>2886</v>
      </c>
      <c r="O57" s="3">
        <v>3569</v>
      </c>
      <c r="Q57" s="3">
        <v>3632</v>
      </c>
      <c r="V57" s="3">
        <v>3855</v>
      </c>
      <c r="W57" s="3">
        <f t="shared" si="9"/>
        <v>0</v>
      </c>
      <c r="X57" s="3">
        <v>3687</v>
      </c>
      <c r="Y57" s="3">
        <f t="shared" si="6"/>
        <v>0</v>
      </c>
      <c r="Z57" s="3">
        <v>3618</v>
      </c>
      <c r="AA57" s="3">
        <f t="shared" si="7"/>
        <v>0</v>
      </c>
    </row>
    <row r="58" spans="1:27" x14ac:dyDescent="0.25">
      <c r="A58" t="s">
        <v>55</v>
      </c>
      <c r="C58">
        <v>2038</v>
      </c>
      <c r="D58">
        <f>C58*I13</f>
        <v>2079.6082851352021</v>
      </c>
      <c r="F58">
        <v>1899</v>
      </c>
      <c r="G58">
        <f>F58*I13</f>
        <v>1937.7704285926147</v>
      </c>
      <c r="K58">
        <v>1855</v>
      </c>
      <c r="M58">
        <v>2192</v>
      </c>
      <c r="O58">
        <v>2319</v>
      </c>
      <c r="Q58">
        <v>2334</v>
      </c>
      <c r="S58" s="3">
        <v>2288</v>
      </c>
      <c r="T58" s="3"/>
      <c r="U58" s="3"/>
      <c r="V58" s="3">
        <v>2340</v>
      </c>
      <c r="W58" s="3">
        <f t="shared" si="9"/>
        <v>0.97777777777777775</v>
      </c>
      <c r="X58" s="3">
        <v>1893</v>
      </c>
      <c r="Y58">
        <f t="shared" si="6"/>
        <v>1850.9333333333332</v>
      </c>
      <c r="Z58" s="3">
        <v>1716</v>
      </c>
      <c r="AA58">
        <f t="shared" si="7"/>
        <v>1677.8666666666666</v>
      </c>
    </row>
    <row r="59" spans="1:27" x14ac:dyDescent="0.25">
      <c r="A59" t="s">
        <v>56</v>
      </c>
      <c r="C59">
        <v>1519</v>
      </c>
      <c r="D59">
        <f>C59*I14</f>
        <v>1559.9712034773161</v>
      </c>
      <c r="F59">
        <v>1394</v>
      </c>
      <c r="G59">
        <f>F59*I14</f>
        <v>1431.5996429541663</v>
      </c>
      <c r="K59">
        <v>1411</v>
      </c>
      <c r="M59">
        <v>1626</v>
      </c>
      <c r="O59">
        <v>1458</v>
      </c>
      <c r="Q59">
        <v>1399</v>
      </c>
      <c r="S59" s="3">
        <v>1496</v>
      </c>
      <c r="T59" s="3"/>
      <c r="U59" s="3"/>
      <c r="V59" s="3">
        <v>1302</v>
      </c>
      <c r="W59" s="4">
        <f t="shared" si="9"/>
        <v>1.1490015360983103</v>
      </c>
      <c r="X59" s="3">
        <v>1221</v>
      </c>
      <c r="Y59">
        <f t="shared" si="6"/>
        <v>1402.9308755760369</v>
      </c>
      <c r="Z59" s="3">
        <v>972</v>
      </c>
      <c r="AA59">
        <f t="shared" si="7"/>
        <v>1116.8294930875577</v>
      </c>
    </row>
    <row r="60" spans="1:27" x14ac:dyDescent="0.25">
      <c r="A60" t="s">
        <v>57</v>
      </c>
      <c r="B60">
        <v>1211</v>
      </c>
      <c r="C60">
        <v>1696</v>
      </c>
      <c r="D60">
        <f>C60*I15</f>
        <v>1708.7085748034403</v>
      </c>
      <c r="F60">
        <v>1605</v>
      </c>
      <c r="G60">
        <f>F60*I15</f>
        <v>1617.0266878299067</v>
      </c>
      <c r="K60">
        <v>1651</v>
      </c>
      <c r="M60">
        <v>2525</v>
      </c>
      <c r="O60">
        <v>2819</v>
      </c>
      <c r="Q60">
        <v>2789</v>
      </c>
      <c r="S60" s="3">
        <v>2729</v>
      </c>
      <c r="T60" s="3"/>
      <c r="U60" s="3"/>
      <c r="V60" s="3">
        <v>2718</v>
      </c>
      <c r="W60" s="3">
        <f t="shared" si="9"/>
        <v>1.004047093451067</v>
      </c>
      <c r="X60" s="3">
        <v>2652</v>
      </c>
      <c r="Y60">
        <f t="shared" si="6"/>
        <v>2662.7328918322296</v>
      </c>
      <c r="Z60" s="3">
        <v>2454</v>
      </c>
      <c r="AA60">
        <f t="shared" si="7"/>
        <v>2463.9315673289184</v>
      </c>
    </row>
    <row r="61" spans="1:27" x14ac:dyDescent="0.25">
      <c r="A61" t="s">
        <v>58</v>
      </c>
      <c r="B61">
        <v>1205</v>
      </c>
      <c r="C61">
        <v>1745</v>
      </c>
      <c r="D61" s="3">
        <f>C61*I15</f>
        <v>1758.0757447122662</v>
      </c>
      <c r="E61" s="3"/>
      <c r="F61" s="3">
        <v>1921</v>
      </c>
      <c r="G61" s="3">
        <f>F61*I15</f>
        <v>1935.3945590786609</v>
      </c>
      <c r="H61" s="3"/>
      <c r="K61">
        <v>1918</v>
      </c>
      <c r="M61">
        <v>2590</v>
      </c>
      <c r="O61">
        <v>3536</v>
      </c>
      <c r="Q61">
        <v>3985</v>
      </c>
      <c r="S61" s="3">
        <v>3902</v>
      </c>
      <c r="T61" s="3"/>
      <c r="U61" s="3"/>
      <c r="V61" s="3">
        <v>3753</v>
      </c>
      <c r="W61" s="3">
        <f t="shared" si="9"/>
        <v>1.0397015720756728</v>
      </c>
      <c r="X61" s="3">
        <v>3816</v>
      </c>
      <c r="Y61">
        <f t="shared" si="6"/>
        <v>3967.5011990407675</v>
      </c>
      <c r="Z61" s="3">
        <v>3729</v>
      </c>
      <c r="AA61">
        <f t="shared" si="7"/>
        <v>3877.0471622701839</v>
      </c>
    </row>
    <row r="62" spans="1:27" s="5" customFormat="1" x14ac:dyDescent="0.25">
      <c r="A62" s="5" t="s">
        <v>59</v>
      </c>
      <c r="B62" s="5">
        <v>1795</v>
      </c>
      <c r="C62" s="5">
        <v>1706</v>
      </c>
      <c r="D62" s="5">
        <f>C62*I21</f>
        <v>1711.4406766062714</v>
      </c>
      <c r="F62" s="5">
        <v>1598</v>
      </c>
      <c r="G62" s="5">
        <f>F62*I21</f>
        <v>1603.0962492478438</v>
      </c>
      <c r="K62" s="5">
        <v>1723</v>
      </c>
      <c r="M62" s="5">
        <v>2738</v>
      </c>
      <c r="O62" s="5">
        <v>3528</v>
      </c>
      <c r="Q62" s="5">
        <v>4746</v>
      </c>
      <c r="S62" s="5">
        <v>5234</v>
      </c>
      <c r="V62" s="5">
        <v>6264</v>
      </c>
      <c r="W62" s="4">
        <f t="shared" si="9"/>
        <v>0.83556832694763727</v>
      </c>
      <c r="Y62" s="5">
        <f t="shared" si="6"/>
        <v>0</v>
      </c>
      <c r="AA62" s="5">
        <f t="shared" si="7"/>
        <v>0</v>
      </c>
    </row>
    <row r="63" spans="1:27" x14ac:dyDescent="0.25">
      <c r="A63" t="s">
        <v>60</v>
      </c>
      <c r="B63">
        <v>1465</v>
      </c>
      <c r="C63">
        <v>1849</v>
      </c>
      <c r="D63">
        <f>C63*I22</f>
        <v>1851.5511267821553</v>
      </c>
      <c r="F63">
        <v>1911</v>
      </c>
      <c r="G63">
        <f>F63*I22</f>
        <v>1913.6366702437526</v>
      </c>
      <c r="K63">
        <v>2081</v>
      </c>
      <c r="M63">
        <v>2254</v>
      </c>
      <c r="O63">
        <v>2703</v>
      </c>
      <c r="Q63">
        <v>3711</v>
      </c>
      <c r="S63" s="3">
        <v>3919</v>
      </c>
      <c r="T63" s="3"/>
      <c r="U63" s="3"/>
      <c r="V63" s="3">
        <v>3798</v>
      </c>
      <c r="W63" s="3">
        <f t="shared" si="9"/>
        <v>1.0318588730911005</v>
      </c>
      <c r="X63" s="3">
        <v>3759</v>
      </c>
      <c r="Y63">
        <f t="shared" si="6"/>
        <v>3878.7575039494468</v>
      </c>
      <c r="Z63" s="3">
        <v>3798</v>
      </c>
      <c r="AA63">
        <f t="shared" si="7"/>
        <v>3918.9999999999995</v>
      </c>
    </row>
    <row r="64" spans="1:27" s="3" customFormat="1" x14ac:dyDescent="0.25">
      <c r="A64" s="3" t="s">
        <v>61</v>
      </c>
      <c r="B64" s="3">
        <v>1241</v>
      </c>
      <c r="C64" s="3">
        <v>1503</v>
      </c>
      <c r="D64" s="3">
        <f>C64*I23</f>
        <v>1505.8906973110072</v>
      </c>
      <c r="F64" s="3">
        <v>1423</v>
      </c>
      <c r="G64" s="3">
        <f>F64*I23</f>
        <v>1425.7368345133489</v>
      </c>
      <c r="K64" s="3">
        <v>1472</v>
      </c>
      <c r="M64" s="3">
        <v>1904</v>
      </c>
      <c r="O64" s="3">
        <v>1861</v>
      </c>
      <c r="Q64" s="3">
        <v>2218</v>
      </c>
      <c r="S64" s="3">
        <v>2154</v>
      </c>
      <c r="V64" s="3">
        <v>2082</v>
      </c>
      <c r="W64" s="3">
        <f t="shared" si="9"/>
        <v>1.0345821325648414</v>
      </c>
      <c r="X64" s="3">
        <v>1875</v>
      </c>
      <c r="Y64" s="3">
        <f t="shared" si="6"/>
        <v>1939.8414985590778</v>
      </c>
      <c r="Z64" s="3">
        <v>1701</v>
      </c>
      <c r="AA64" s="3">
        <f t="shared" si="7"/>
        <v>1759.8242074927953</v>
      </c>
    </row>
    <row r="65" spans="1:27" x14ac:dyDescent="0.25">
      <c r="A65" t="s">
        <v>62</v>
      </c>
      <c r="B65" s="3">
        <v>1463</v>
      </c>
      <c r="C65">
        <v>1547</v>
      </c>
      <c r="D65">
        <f>C65*I23</f>
        <v>1549.9753218497194</v>
      </c>
      <c r="F65">
        <v>1375</v>
      </c>
      <c r="G65">
        <f>F65*I23</f>
        <v>1377.6445168347539</v>
      </c>
      <c r="K65">
        <v>1351</v>
      </c>
      <c r="M65">
        <v>1286</v>
      </c>
      <c r="O65">
        <v>1208</v>
      </c>
      <c r="Q65">
        <v>1120</v>
      </c>
      <c r="S65" s="3">
        <v>972</v>
      </c>
      <c r="T65" s="3"/>
      <c r="U65" s="3"/>
      <c r="V65" s="3">
        <v>933</v>
      </c>
      <c r="W65" s="3">
        <f t="shared" si="9"/>
        <v>1.0418006430868167</v>
      </c>
      <c r="X65" s="3">
        <v>837</v>
      </c>
      <c r="Y65">
        <f t="shared" si="6"/>
        <v>871.98713826366566</v>
      </c>
      <c r="Z65" s="3">
        <v>762</v>
      </c>
      <c r="AA65">
        <f t="shared" si="7"/>
        <v>793.85209003215436</v>
      </c>
    </row>
    <row r="66" spans="1:27" x14ac:dyDescent="0.25">
      <c r="A66" t="s">
        <v>63</v>
      </c>
      <c r="C66">
        <v>1573</v>
      </c>
      <c r="D66">
        <f>C66*I24</f>
        <v>1579.8157224002332</v>
      </c>
      <c r="F66">
        <v>2038</v>
      </c>
      <c r="G66">
        <f>F66*I24</f>
        <v>2046.8305418001748</v>
      </c>
      <c r="K66">
        <v>2059</v>
      </c>
      <c r="M66">
        <v>2693</v>
      </c>
      <c r="O66">
        <v>3279</v>
      </c>
      <c r="Q66">
        <v>3016</v>
      </c>
      <c r="S66" s="3">
        <v>2537</v>
      </c>
      <c r="T66" s="3"/>
      <c r="U66" s="3"/>
      <c r="V66" s="3">
        <v>2472</v>
      </c>
      <c r="W66" s="3">
        <f t="shared" ref="W66" si="10">S66/V66</f>
        <v>1.0262944983818769</v>
      </c>
      <c r="X66" s="3">
        <v>1959</v>
      </c>
      <c r="Y66">
        <f t="shared" si="6"/>
        <v>2010.5109223300969</v>
      </c>
      <c r="Z66" s="3">
        <v>1602</v>
      </c>
      <c r="AA66">
        <f t="shared" si="7"/>
        <v>1644.1237864077668</v>
      </c>
    </row>
    <row r="67" spans="1:27" x14ac:dyDescent="0.25">
      <c r="C67" t="s">
        <v>65</v>
      </c>
      <c r="F67" t="s">
        <v>65</v>
      </c>
      <c r="J67" t="s">
        <v>69</v>
      </c>
      <c r="K67" t="s">
        <v>68</v>
      </c>
      <c r="M67" t="s">
        <v>70</v>
      </c>
      <c r="X67" t="s">
        <v>71</v>
      </c>
    </row>
  </sheetData>
  <pageMargins left="0.7" right="0.7" top="0.75" bottom="0.75" header="0.3" footer="0.3"/>
  <pageSetup paperSize="9" orientation="portrait" horizontalDpi="0" verticalDpi="0"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5"/>
  <sheetViews>
    <sheetView topLeftCell="A58" workbookViewId="0">
      <selection activeCell="H66" sqref="H66"/>
    </sheetView>
  </sheetViews>
  <sheetFormatPr defaultRowHeight="15" x14ac:dyDescent="0.25"/>
  <cols>
    <col min="1" max="1" width="16.140625" customWidth="1"/>
    <col min="2" max="2" width="12" customWidth="1"/>
    <col min="3" max="6" width="12.5703125" bestFit="1" customWidth="1"/>
    <col min="7" max="10" width="13.7109375" bestFit="1" customWidth="1"/>
  </cols>
  <sheetData>
    <row r="1" spans="1:10" s="1" customFormat="1" x14ac:dyDescent="0.25">
      <c r="B1" s="1">
        <v>1926</v>
      </c>
      <c r="C1" s="1">
        <v>1936</v>
      </c>
      <c r="D1" s="1">
        <v>1946</v>
      </c>
      <c r="E1" s="1">
        <v>1956</v>
      </c>
      <c r="F1" s="1">
        <v>1966</v>
      </c>
      <c r="G1" s="1">
        <v>1976</v>
      </c>
      <c r="H1" s="1">
        <v>1986</v>
      </c>
      <c r="I1" s="1">
        <v>1996</v>
      </c>
      <c r="J1" s="1">
        <v>2006</v>
      </c>
    </row>
    <row r="2" spans="1:10" x14ac:dyDescent="0.25">
      <c r="A2" s="1" t="s">
        <v>64</v>
      </c>
    </row>
    <row r="3" spans="1:10" x14ac:dyDescent="0.25">
      <c r="A3" t="s">
        <v>0</v>
      </c>
      <c r="B3" s="8">
        <v>6384.8631353325563</v>
      </c>
      <c r="C3" s="8">
        <v>7287.6701474462889</v>
      </c>
      <c r="D3" s="8">
        <v>9289</v>
      </c>
      <c r="E3" s="8">
        <v>13363</v>
      </c>
      <c r="F3" s="8">
        <v>29503</v>
      </c>
      <c r="G3" s="8">
        <v>39069</v>
      </c>
      <c r="H3" s="8">
        <v>44043</v>
      </c>
      <c r="I3" s="8">
        <v>45785</v>
      </c>
      <c r="J3" s="8">
        <v>49080</v>
      </c>
    </row>
    <row r="4" spans="1:10" x14ac:dyDescent="0.25">
      <c r="A4" t="s">
        <v>1</v>
      </c>
      <c r="B4" s="8">
        <v>196636.66587997694</v>
      </c>
      <c r="C4" s="8">
        <v>216183.55855873282</v>
      </c>
      <c r="D4" s="8">
        <v>263370</v>
      </c>
      <c r="E4" s="8">
        <v>381063</v>
      </c>
      <c r="F4" s="8">
        <v>548293</v>
      </c>
      <c r="G4" s="8">
        <v>742786</v>
      </c>
      <c r="H4" s="8">
        <v>820754</v>
      </c>
      <c r="I4" s="8">
        <v>997940</v>
      </c>
      <c r="J4" s="8">
        <v>1208094</v>
      </c>
    </row>
    <row r="5" spans="1:10" x14ac:dyDescent="0.25">
      <c r="A5" s="3" t="s">
        <v>2</v>
      </c>
      <c r="B5" s="8">
        <v>3457.6072768868512</v>
      </c>
      <c r="C5" s="8">
        <v>3800.8201361877136</v>
      </c>
      <c r="D5" s="8">
        <v>4867.0256437539902</v>
      </c>
      <c r="E5" s="8">
        <v>6896.7915513939133</v>
      </c>
      <c r="F5" s="8">
        <v>9629.6213024047665</v>
      </c>
      <c r="G5" s="8">
        <v>12899.309427537773</v>
      </c>
      <c r="H5" s="9">
        <v>13823</v>
      </c>
      <c r="I5" s="9">
        <v>16267.19514429684</v>
      </c>
      <c r="J5" s="9">
        <v>22518</v>
      </c>
    </row>
    <row r="6" spans="1:10" x14ac:dyDescent="0.25">
      <c r="A6" t="s">
        <v>3</v>
      </c>
      <c r="B6" s="8">
        <v>23173.816978838771</v>
      </c>
      <c r="C6" s="8">
        <v>28219.880371695446</v>
      </c>
      <c r="D6" s="8">
        <v>36937.739577693559</v>
      </c>
      <c r="E6" s="8">
        <v>56204.030319436926</v>
      </c>
      <c r="F6" s="8">
        <v>87749.795343800753</v>
      </c>
      <c r="G6" s="8">
        <v>127306.72495939361</v>
      </c>
      <c r="H6" s="15">
        <v>138645</v>
      </c>
      <c r="I6" s="8">
        <v>159234</v>
      </c>
      <c r="J6" s="8">
        <v>184908</v>
      </c>
    </row>
    <row r="7" spans="1:10" x14ac:dyDescent="0.25">
      <c r="A7" t="s">
        <v>4</v>
      </c>
      <c r="B7" s="8">
        <v>2684.5126354238005</v>
      </c>
      <c r="C7" s="8">
        <v>3616.7240637153586</v>
      </c>
      <c r="D7" s="8">
        <v>4944.686464204593</v>
      </c>
      <c r="E7" s="8">
        <v>10044.681416673677</v>
      </c>
      <c r="F7" s="8">
        <v>33166.757297888449</v>
      </c>
      <c r="G7" s="8">
        <v>50530.875914864977</v>
      </c>
      <c r="H7" s="15">
        <v>62370</v>
      </c>
      <c r="I7" s="8">
        <v>82832</v>
      </c>
      <c r="J7" s="8">
        <v>108882</v>
      </c>
    </row>
    <row r="8" spans="1:10" x14ac:dyDescent="0.25">
      <c r="A8" t="s">
        <v>5</v>
      </c>
      <c r="B8" s="8">
        <v>4211.7455771825016</v>
      </c>
      <c r="C8" s="8">
        <v>6645.7865099248411</v>
      </c>
      <c r="D8" s="8">
        <v>7512</v>
      </c>
      <c r="E8" s="8">
        <v>12302</v>
      </c>
      <c r="F8" s="8">
        <v>33229</v>
      </c>
      <c r="G8" s="8">
        <v>46650</v>
      </c>
      <c r="H8" s="8">
        <v>48855</v>
      </c>
      <c r="I8" s="8">
        <v>52956</v>
      </c>
      <c r="J8" s="8">
        <v>53766</v>
      </c>
    </row>
    <row r="9" spans="1:10" x14ac:dyDescent="0.25">
      <c r="A9" t="s">
        <v>6</v>
      </c>
      <c r="B9" s="8"/>
      <c r="C9" s="8"/>
      <c r="D9" s="8"/>
      <c r="E9" s="8">
        <v>3133.4871794871792</v>
      </c>
      <c r="F9" s="8">
        <v>8041.0406350406347</v>
      </c>
      <c r="G9" s="8">
        <v>14185.931077931076</v>
      </c>
      <c r="H9" s="9">
        <v>17458</v>
      </c>
      <c r="I9" s="9">
        <v>21044</v>
      </c>
      <c r="J9" s="9">
        <v>21291</v>
      </c>
    </row>
    <row r="10" spans="1:10" x14ac:dyDescent="0.25">
      <c r="A10" t="s">
        <v>7</v>
      </c>
      <c r="B10" s="8">
        <v>15637.803736577494</v>
      </c>
      <c r="C10" s="8">
        <v>16745.753832785053</v>
      </c>
      <c r="D10" s="8">
        <v>16984</v>
      </c>
      <c r="E10" s="8">
        <v>22622</v>
      </c>
      <c r="F10" s="8">
        <v>27804</v>
      </c>
      <c r="G10" s="8">
        <v>31790</v>
      </c>
      <c r="H10" s="8">
        <v>32238</v>
      </c>
      <c r="I10" s="8">
        <v>32653</v>
      </c>
      <c r="J10" s="8">
        <v>32529</v>
      </c>
    </row>
    <row r="11" spans="1:10" x14ac:dyDescent="0.25">
      <c r="A11" t="s">
        <v>8</v>
      </c>
      <c r="B11" s="8">
        <v>18363.659805257052</v>
      </c>
      <c r="C11" s="8">
        <v>19137.815095101156</v>
      </c>
      <c r="D11" s="8">
        <v>20297</v>
      </c>
      <c r="E11" s="8">
        <v>27507</v>
      </c>
      <c r="F11" s="8">
        <v>38309</v>
      </c>
      <c r="G11" s="8">
        <v>50164</v>
      </c>
      <c r="H11" s="8">
        <v>52151</v>
      </c>
      <c r="I11" s="8">
        <v>55044</v>
      </c>
      <c r="J11" s="8">
        <v>56286</v>
      </c>
    </row>
    <row r="12" spans="1:10" x14ac:dyDescent="0.25">
      <c r="A12" t="s">
        <v>9</v>
      </c>
      <c r="B12" s="8">
        <v>15571.388732404585</v>
      </c>
      <c r="C12" s="8">
        <v>19106.279069730754</v>
      </c>
      <c r="D12" s="8">
        <v>20999.780363874772</v>
      </c>
      <c r="E12" s="8">
        <v>28702.454351745615</v>
      </c>
      <c r="F12" s="8">
        <v>38700.333060154073</v>
      </c>
      <c r="G12" s="8">
        <v>52488.088510080313</v>
      </c>
      <c r="H12" s="16">
        <v>56717.999999999993</v>
      </c>
      <c r="I12" s="8">
        <v>58675</v>
      </c>
      <c r="J12" s="8">
        <v>62118</v>
      </c>
    </row>
    <row r="13" spans="1:10" x14ac:dyDescent="0.25">
      <c r="A13" t="s">
        <v>10</v>
      </c>
      <c r="B13" s="8">
        <v>16263.39393939394</v>
      </c>
      <c r="C13" s="8">
        <v>18898.108655890061</v>
      </c>
      <c r="D13" s="8">
        <v>20642</v>
      </c>
      <c r="E13" s="8">
        <v>28292</v>
      </c>
      <c r="F13" s="8">
        <v>35280</v>
      </c>
      <c r="G13" s="8">
        <v>43914</v>
      </c>
      <c r="H13" s="8">
        <v>47384</v>
      </c>
      <c r="I13" s="8">
        <v>49306</v>
      </c>
      <c r="J13" s="8">
        <v>49281</v>
      </c>
    </row>
    <row r="14" spans="1:10" x14ac:dyDescent="0.25">
      <c r="A14" t="s">
        <v>11</v>
      </c>
      <c r="B14" s="8">
        <v>26834.791011759229</v>
      </c>
      <c r="C14" s="8">
        <v>26490.755229557188</v>
      </c>
      <c r="D14" s="8">
        <v>26462</v>
      </c>
      <c r="E14" s="8">
        <v>32100</v>
      </c>
      <c r="F14" s="8">
        <v>38174</v>
      </c>
      <c r="G14" s="8">
        <v>39679</v>
      </c>
      <c r="H14" s="8">
        <v>40758</v>
      </c>
      <c r="I14" s="8">
        <v>41320</v>
      </c>
      <c r="J14" s="8">
        <v>38988</v>
      </c>
    </row>
    <row r="15" spans="1:10" x14ac:dyDescent="0.25">
      <c r="A15" t="s">
        <v>12</v>
      </c>
      <c r="B15" s="8">
        <v>19902.021926100922</v>
      </c>
      <c r="C15" s="8">
        <v>24247.340371341037</v>
      </c>
      <c r="D15" s="8">
        <v>27294</v>
      </c>
      <c r="E15" s="8">
        <v>37775</v>
      </c>
      <c r="F15" s="8">
        <v>49140</v>
      </c>
      <c r="G15" s="8">
        <v>63873</v>
      </c>
      <c r="H15" s="8">
        <v>67405</v>
      </c>
      <c r="I15" s="8">
        <v>73862</v>
      </c>
      <c r="J15" s="8">
        <v>76032</v>
      </c>
    </row>
    <row r="16" spans="1:10" x14ac:dyDescent="0.25">
      <c r="A16" s="3" t="s">
        <v>13</v>
      </c>
      <c r="B16" s="8">
        <v>8188</v>
      </c>
      <c r="C16" s="8">
        <v>9164</v>
      </c>
      <c r="D16" s="8">
        <v>9535</v>
      </c>
      <c r="E16" s="8">
        <v>13000</v>
      </c>
      <c r="F16" s="8">
        <v>17596</v>
      </c>
      <c r="G16" s="8">
        <v>21001</v>
      </c>
      <c r="H16" s="9">
        <v>19353</v>
      </c>
      <c r="I16" s="9">
        <v>19686</v>
      </c>
      <c r="J16" s="9">
        <v>19497</v>
      </c>
    </row>
    <row r="17" spans="1:10" x14ac:dyDescent="0.25">
      <c r="A17" s="3" t="s">
        <v>14</v>
      </c>
      <c r="B17" s="8"/>
      <c r="C17" s="8"/>
      <c r="D17" s="8"/>
      <c r="E17" s="8"/>
      <c r="F17" s="8"/>
      <c r="G17" s="8">
        <v>14973</v>
      </c>
      <c r="H17" s="9">
        <v>23203</v>
      </c>
      <c r="I17" s="8">
        <v>30004</v>
      </c>
      <c r="J17" s="9">
        <v>37347</v>
      </c>
    </row>
    <row r="18" spans="1:10" x14ac:dyDescent="0.25">
      <c r="A18" t="s">
        <v>15</v>
      </c>
      <c r="B18" s="8">
        <v>122168.87465181058</v>
      </c>
      <c r="C18" s="8">
        <v>151015.3662952646</v>
      </c>
      <c r="D18" s="8">
        <v>173520</v>
      </c>
      <c r="E18" s="8">
        <v>224350</v>
      </c>
      <c r="F18" s="8">
        <v>282487</v>
      </c>
      <c r="G18" s="8">
        <v>327414</v>
      </c>
      <c r="H18" s="8">
        <v>325697</v>
      </c>
      <c r="I18" s="8">
        <v>335468</v>
      </c>
      <c r="J18" s="8">
        <v>360624</v>
      </c>
    </row>
    <row r="19" spans="1:10" x14ac:dyDescent="0.25">
      <c r="A19" t="s">
        <v>16</v>
      </c>
      <c r="B19" s="8">
        <v>11829.07686707517</v>
      </c>
      <c r="C19" s="8">
        <v>13661.467451313476</v>
      </c>
      <c r="D19" s="8">
        <v>16577</v>
      </c>
      <c r="E19" s="8">
        <v>22503</v>
      </c>
      <c r="F19" s="8">
        <v>27615</v>
      </c>
      <c r="G19" s="8">
        <v>42433</v>
      </c>
      <c r="H19" s="8">
        <v>44593</v>
      </c>
      <c r="I19" s="8">
        <v>50691</v>
      </c>
      <c r="J19" s="8">
        <v>56367</v>
      </c>
    </row>
    <row r="20" spans="1:10" x14ac:dyDescent="0.25">
      <c r="A20" s="3" t="s">
        <v>17</v>
      </c>
      <c r="B20" s="8">
        <v>6212.1687967161724</v>
      </c>
      <c r="C20" s="8">
        <v>6274.4649138112009</v>
      </c>
      <c r="D20" s="8">
        <v>7160.5953681450737</v>
      </c>
      <c r="E20" s="8">
        <v>11421.02572645838</v>
      </c>
      <c r="F20" s="8">
        <v>16404.948765566965</v>
      </c>
      <c r="G20" s="8">
        <v>21253.836355691503</v>
      </c>
      <c r="H20" s="9">
        <v>22681</v>
      </c>
      <c r="I20" s="9">
        <v>25875</v>
      </c>
      <c r="J20" s="9">
        <v>28527</v>
      </c>
    </row>
    <row r="21" spans="1:10" x14ac:dyDescent="0.25">
      <c r="A21" t="s">
        <v>18</v>
      </c>
      <c r="B21" s="8">
        <v>118785.61995052484</v>
      </c>
      <c r="C21" s="8">
        <v>132981.74950190546</v>
      </c>
      <c r="D21" s="8">
        <v>150047</v>
      </c>
      <c r="E21" s="8">
        <v>193367</v>
      </c>
      <c r="F21" s="8">
        <v>247248</v>
      </c>
      <c r="G21" s="8">
        <v>295296</v>
      </c>
      <c r="H21" s="8">
        <v>299373</v>
      </c>
      <c r="I21" s="8">
        <v>331443</v>
      </c>
      <c r="J21" s="8">
        <v>360768</v>
      </c>
    </row>
    <row r="22" spans="1:10" x14ac:dyDescent="0.25">
      <c r="A22" t="s">
        <v>19</v>
      </c>
      <c r="B22" s="8">
        <v>16840.202974091673</v>
      </c>
      <c r="C22" s="8">
        <v>18839.958301395061</v>
      </c>
      <c r="D22" s="8">
        <v>19596</v>
      </c>
      <c r="E22" s="8">
        <v>24694</v>
      </c>
      <c r="F22" s="8">
        <v>27946</v>
      </c>
      <c r="G22" s="8">
        <v>29958</v>
      </c>
      <c r="H22" s="8">
        <v>28621</v>
      </c>
      <c r="I22" s="8">
        <v>27521</v>
      </c>
      <c r="J22" s="8">
        <v>26886</v>
      </c>
    </row>
    <row r="23" spans="1:10" x14ac:dyDescent="0.25">
      <c r="A23" t="s">
        <v>20</v>
      </c>
      <c r="B23" s="8">
        <v>85266.677320864037</v>
      </c>
      <c r="C23" s="8">
        <v>82118.634359486008</v>
      </c>
      <c r="D23" s="8">
        <v>83351</v>
      </c>
      <c r="E23" s="8">
        <v>99370</v>
      </c>
      <c r="F23" s="8">
        <v>108734</v>
      </c>
      <c r="G23" s="8">
        <v>113222</v>
      </c>
      <c r="H23" s="8">
        <v>108864</v>
      </c>
      <c r="I23" s="8">
        <v>112279</v>
      </c>
      <c r="J23" s="8">
        <v>110997</v>
      </c>
    </row>
    <row r="24" spans="1:10" x14ac:dyDescent="0.25">
      <c r="A24" t="s">
        <v>21</v>
      </c>
      <c r="B24" s="8">
        <v>21956.726842411888</v>
      </c>
      <c r="C24" s="8">
        <v>25883.668657151182</v>
      </c>
      <c r="D24" s="8">
        <v>27583</v>
      </c>
      <c r="E24" s="8">
        <v>35107</v>
      </c>
      <c r="F24" s="8">
        <v>46016</v>
      </c>
      <c r="G24" s="8">
        <v>53762</v>
      </c>
      <c r="H24" s="9">
        <v>52807</v>
      </c>
      <c r="I24" s="8">
        <v>49306</v>
      </c>
      <c r="J24" s="8">
        <v>46773</v>
      </c>
    </row>
    <row r="25" spans="1:10" x14ac:dyDescent="0.25">
      <c r="A25" s="3" t="s">
        <v>22</v>
      </c>
      <c r="B25" s="8">
        <v>2936.2216366182956</v>
      </c>
      <c r="C25" s="8">
        <v>3304.1816723672437</v>
      </c>
      <c r="D25" s="8">
        <v>4021.1581207704321</v>
      </c>
      <c r="E25" s="8">
        <v>8005.3003643935454</v>
      </c>
      <c r="F25" s="8">
        <v>14068.501041124415</v>
      </c>
      <c r="G25" s="8">
        <v>18210.577693909421</v>
      </c>
      <c r="H25" s="9">
        <v>18962</v>
      </c>
      <c r="I25" s="8">
        <v>19357.533623910338</v>
      </c>
      <c r="J25" s="8">
        <v>19171.573785803237</v>
      </c>
    </row>
    <row r="26" spans="1:10" x14ac:dyDescent="0.25">
      <c r="A26" s="3" t="s">
        <v>23</v>
      </c>
      <c r="B26" s="8"/>
      <c r="C26" s="8"/>
      <c r="D26" s="8"/>
      <c r="E26" s="8"/>
      <c r="F26" s="8"/>
      <c r="G26" s="8">
        <v>19232.275641025644</v>
      </c>
      <c r="H26" s="9">
        <v>18193</v>
      </c>
      <c r="I26" s="8">
        <v>15110.124744027302</v>
      </c>
      <c r="J26" s="8">
        <v>12356.337883959044</v>
      </c>
    </row>
    <row r="27" spans="1:10" x14ac:dyDescent="0.25">
      <c r="A27" s="3" t="s">
        <v>24</v>
      </c>
      <c r="B27" s="8">
        <v>1343.1998458277126</v>
      </c>
      <c r="C27" s="8">
        <v>1763.4585854692621</v>
      </c>
      <c r="D27" s="9">
        <v>2806</v>
      </c>
      <c r="E27" s="9">
        <v>5445</v>
      </c>
      <c r="F27" s="9">
        <v>8637</v>
      </c>
      <c r="G27" s="9">
        <v>11542</v>
      </c>
      <c r="H27" s="9">
        <v>15954</v>
      </c>
      <c r="I27" s="8">
        <v>16944.576716417909</v>
      </c>
      <c r="J27" s="8">
        <v>17554.1623880597</v>
      </c>
    </row>
    <row r="28" spans="1:10" x14ac:dyDescent="0.25">
      <c r="A28" s="3" t="s">
        <v>25</v>
      </c>
      <c r="B28" s="8">
        <v>5522.8304174635523</v>
      </c>
      <c r="C28" s="8">
        <v>6177.1787566316416</v>
      </c>
      <c r="D28" s="8">
        <v>8195.2209550962216</v>
      </c>
      <c r="E28" s="8">
        <v>11045.638203848896</v>
      </c>
      <c r="F28" s="8">
        <v>13754.945687811833</v>
      </c>
      <c r="G28" s="8">
        <v>15440.664647184605</v>
      </c>
      <c r="H28" s="9">
        <v>15229</v>
      </c>
      <c r="I28" s="8">
        <v>15244.367305751764</v>
      </c>
      <c r="J28" s="8">
        <v>16240.168718466195</v>
      </c>
    </row>
    <row r="29" spans="1:10" x14ac:dyDescent="0.25">
      <c r="A29" s="3" t="s">
        <v>26</v>
      </c>
      <c r="B29" s="8">
        <v>7891.9882454664112</v>
      </c>
      <c r="C29" s="8">
        <v>8447.0787696650495</v>
      </c>
      <c r="D29" s="8">
        <v>8424.1074138476124</v>
      </c>
      <c r="E29" s="8">
        <v>11036.582911792602</v>
      </c>
      <c r="F29" s="8">
        <v>14848.319791337337</v>
      </c>
      <c r="G29" s="8">
        <v>15179.383496680366</v>
      </c>
      <c r="H29" s="9">
        <v>14247</v>
      </c>
      <c r="I29" s="8">
        <v>13464.811764705881</v>
      </c>
      <c r="J29" s="8">
        <v>12383.551557093424</v>
      </c>
    </row>
    <row r="30" spans="1:10" x14ac:dyDescent="0.25">
      <c r="A30" s="3" t="s">
        <v>27</v>
      </c>
      <c r="B30" s="8">
        <v>4532.7980071178126</v>
      </c>
      <c r="C30" s="8">
        <v>4843.6427741629986</v>
      </c>
      <c r="D30" s="8">
        <v>5284.1533509409046</v>
      </c>
      <c r="E30" s="8">
        <v>7168.1056454275331</v>
      </c>
      <c r="F30" s="8">
        <v>9542.3293166061394</v>
      </c>
      <c r="G30" s="8">
        <v>11509.754539451964</v>
      </c>
      <c r="H30" s="9">
        <v>12802</v>
      </c>
      <c r="I30" s="8">
        <v>13758.165975103735</v>
      </c>
      <c r="J30" s="8">
        <v>13389.448376861119</v>
      </c>
    </row>
    <row r="31" spans="1:10" x14ac:dyDescent="0.25">
      <c r="A31" s="3" t="s">
        <v>28</v>
      </c>
      <c r="B31" s="8">
        <v>4592.8934697711211</v>
      </c>
      <c r="C31" s="8">
        <v>4758.2008996984532</v>
      </c>
      <c r="D31" s="9">
        <v>4840</v>
      </c>
      <c r="E31" s="9">
        <v>5620</v>
      </c>
      <c r="F31" s="9">
        <v>8142</v>
      </c>
      <c r="G31" s="9">
        <v>8506</v>
      </c>
      <c r="H31" s="9">
        <v>11375</v>
      </c>
      <c r="I31" s="8">
        <v>10983.72235872236</v>
      </c>
      <c r="J31" s="8">
        <v>9977.5798525798527</v>
      </c>
    </row>
    <row r="32" spans="1:10" x14ac:dyDescent="0.25">
      <c r="A32" s="3" t="s">
        <v>29</v>
      </c>
      <c r="B32" s="8">
        <v>8349.8242611835321</v>
      </c>
      <c r="C32" s="8">
        <v>12054.585283669161</v>
      </c>
      <c r="D32" s="8">
        <v>12370.261673662118</v>
      </c>
      <c r="E32" s="8">
        <v>13216.609129066106</v>
      </c>
      <c r="F32" s="8">
        <v>12782.357555089191</v>
      </c>
      <c r="G32" s="8">
        <v>12232.896379853095</v>
      </c>
      <c r="H32" s="9">
        <v>11261</v>
      </c>
      <c r="I32" s="8">
        <v>10652.051654560129</v>
      </c>
      <c r="J32" s="8">
        <v>9994.6298089857428</v>
      </c>
    </row>
    <row r="33" spans="1:10" x14ac:dyDescent="0.25">
      <c r="A33" s="3" t="s">
        <v>30</v>
      </c>
      <c r="B33" s="8">
        <v>5146.6903863731477</v>
      </c>
      <c r="C33" s="8">
        <v>6093.2081585797032</v>
      </c>
      <c r="D33" s="8">
        <v>6544.6823365138471</v>
      </c>
      <c r="E33" s="8">
        <v>8595.7857807772871</v>
      </c>
      <c r="F33" s="8">
        <v>10607.621131021644</v>
      </c>
      <c r="G33" s="8">
        <v>12014.727833372121</v>
      </c>
      <c r="H33" s="9">
        <v>11249</v>
      </c>
      <c r="I33" s="8">
        <v>10546.123643102992</v>
      </c>
      <c r="J33" s="8">
        <v>9622.8538522637009</v>
      </c>
    </row>
    <row r="34" spans="1:10" x14ac:dyDescent="0.25">
      <c r="A34" s="3" t="s">
        <v>31</v>
      </c>
      <c r="B34" s="8">
        <v>1958.4594551722269</v>
      </c>
      <c r="C34" s="8">
        <v>2217.2777182386917</v>
      </c>
      <c r="D34" s="8">
        <v>2370</v>
      </c>
      <c r="E34" s="9">
        <v>3306</v>
      </c>
      <c r="F34" s="9">
        <v>3902</v>
      </c>
      <c r="G34" s="9">
        <v>4559</v>
      </c>
      <c r="H34" s="9">
        <v>4859</v>
      </c>
      <c r="I34" s="8">
        <v>4469.6364238410597</v>
      </c>
      <c r="J34" s="8">
        <v>4228.2953642384109</v>
      </c>
    </row>
    <row r="35" spans="1:10" x14ac:dyDescent="0.25">
      <c r="A35" t="s">
        <v>32</v>
      </c>
      <c r="B35" s="8">
        <v>1745.1422239352478</v>
      </c>
      <c r="C35" s="8">
        <v>1976.1318943919832</v>
      </c>
      <c r="D35" s="8">
        <v>2870</v>
      </c>
      <c r="E35" s="8">
        <v>4187</v>
      </c>
      <c r="F35" s="8">
        <v>5401</v>
      </c>
      <c r="G35" s="8">
        <v>5559</v>
      </c>
      <c r="H35" s="9">
        <v>6750</v>
      </c>
      <c r="I35" s="8">
        <v>6062.6331487004691</v>
      </c>
      <c r="J35" s="8">
        <v>5651.3634426927993</v>
      </c>
    </row>
    <row r="36" spans="1:10" x14ac:dyDescent="0.25">
      <c r="A36" t="s">
        <v>33</v>
      </c>
      <c r="B36" s="8">
        <v>2056.5203700134903</v>
      </c>
      <c r="C36" s="8">
        <v>2241.7191366351899</v>
      </c>
      <c r="D36" s="8">
        <v>2567</v>
      </c>
      <c r="E36" s="8">
        <v>3408</v>
      </c>
      <c r="F36" s="8">
        <v>5962</v>
      </c>
      <c r="G36" s="8">
        <v>7841</v>
      </c>
      <c r="H36" s="9">
        <v>10145</v>
      </c>
      <c r="I36" s="8">
        <v>11417.600256657042</v>
      </c>
      <c r="J36" s="8">
        <v>12546.992300288741</v>
      </c>
    </row>
    <row r="37" spans="1:10" x14ac:dyDescent="0.25">
      <c r="A37" t="s">
        <v>34</v>
      </c>
      <c r="B37" s="8">
        <v>1657.6307188282906</v>
      </c>
      <c r="C37" s="8">
        <v>2263.0882250915397</v>
      </c>
      <c r="D37" s="8">
        <v>3017</v>
      </c>
      <c r="E37" s="8">
        <v>4614</v>
      </c>
      <c r="F37" s="8">
        <v>6719</v>
      </c>
      <c r="G37" s="8">
        <v>7619</v>
      </c>
      <c r="H37" s="9">
        <v>8096</v>
      </c>
      <c r="I37" s="8">
        <v>8766.5276073619625</v>
      </c>
      <c r="J37" s="8">
        <v>9229.067484662577</v>
      </c>
    </row>
    <row r="38" spans="1:10" x14ac:dyDescent="0.25">
      <c r="A38" s="3" t="s">
        <v>35</v>
      </c>
      <c r="B38" s="8">
        <v>2362.8106378878397</v>
      </c>
      <c r="C38" s="8">
        <v>2542.9215263056467</v>
      </c>
      <c r="D38" s="8">
        <v>2720</v>
      </c>
      <c r="E38" s="9">
        <v>3781</v>
      </c>
      <c r="F38" s="9">
        <v>4825</v>
      </c>
      <c r="G38" s="9">
        <v>4840</v>
      </c>
      <c r="H38" s="9">
        <v>4521</v>
      </c>
      <c r="I38" s="9">
        <v>4299</v>
      </c>
      <c r="J38" s="9">
        <v>3885</v>
      </c>
    </row>
    <row r="39" spans="1:10" x14ac:dyDescent="0.25">
      <c r="A39" t="s">
        <v>36</v>
      </c>
      <c r="B39" s="8">
        <v>2333.6919274309162</v>
      </c>
      <c r="C39" s="8">
        <v>2693.8988580750411</v>
      </c>
      <c r="D39" s="8">
        <v>2706</v>
      </c>
      <c r="E39" s="8">
        <v>3344</v>
      </c>
      <c r="F39" s="8">
        <v>5864</v>
      </c>
      <c r="G39" s="8">
        <v>6479</v>
      </c>
      <c r="H39" s="9">
        <v>6387</v>
      </c>
      <c r="I39" s="9">
        <v>5613.1053412462907</v>
      </c>
      <c r="J39" s="8">
        <v>4573.8753709198809</v>
      </c>
    </row>
    <row r="40" spans="1:10" x14ac:dyDescent="0.25">
      <c r="A40" t="s">
        <v>38</v>
      </c>
      <c r="B40" s="8">
        <v>3782.3286567739451</v>
      </c>
      <c r="C40" s="8">
        <v>3984.8262092888804</v>
      </c>
      <c r="D40" s="8">
        <v>3756</v>
      </c>
      <c r="E40" s="8">
        <v>3075</v>
      </c>
      <c r="F40" s="8">
        <v>3169</v>
      </c>
      <c r="G40" s="8">
        <v>3415</v>
      </c>
      <c r="H40" s="9">
        <v>3679</v>
      </c>
      <c r="I40" s="9">
        <v>4177.7025561580167</v>
      </c>
      <c r="J40" s="8">
        <v>3895.5793958171957</v>
      </c>
    </row>
    <row r="41" spans="1:10" x14ac:dyDescent="0.25">
      <c r="A41" t="s">
        <v>39</v>
      </c>
      <c r="B41" s="8">
        <v>1554.8555791096551</v>
      </c>
      <c r="C41" s="8">
        <v>1827.5658508383119</v>
      </c>
      <c r="D41" s="8">
        <v>2175</v>
      </c>
      <c r="E41" s="8">
        <v>3552</v>
      </c>
      <c r="F41" s="8">
        <v>4497</v>
      </c>
      <c r="G41" s="8">
        <v>4783</v>
      </c>
      <c r="H41" s="9">
        <v>5281</v>
      </c>
      <c r="I41" s="9">
        <v>5667.0468303826392</v>
      </c>
      <c r="J41" s="8">
        <v>6083.2535693889213</v>
      </c>
    </row>
    <row r="42" spans="1:10" x14ac:dyDescent="0.25">
      <c r="A42" t="s">
        <v>41</v>
      </c>
      <c r="B42" s="8">
        <v>2285.4765067345293</v>
      </c>
      <c r="C42" s="8">
        <v>2660.7669294270995</v>
      </c>
      <c r="D42" s="8">
        <v>2857</v>
      </c>
      <c r="E42" s="8">
        <v>3796</v>
      </c>
      <c r="F42" s="8">
        <v>5100</v>
      </c>
      <c r="G42" s="8">
        <v>5466</v>
      </c>
      <c r="H42" s="9">
        <v>5094</v>
      </c>
      <c r="I42" s="9">
        <v>4758.1318681318689</v>
      </c>
      <c r="J42" s="8">
        <v>3940.2307692307695</v>
      </c>
    </row>
    <row r="43" spans="1:10" x14ac:dyDescent="0.25">
      <c r="A43" t="s">
        <v>43</v>
      </c>
      <c r="B43" s="8">
        <v>4275.8014100623832</v>
      </c>
      <c r="C43" s="8">
        <v>4417.8579602081873</v>
      </c>
      <c r="D43" s="8">
        <v>4334</v>
      </c>
      <c r="E43" s="8">
        <v>5294</v>
      </c>
      <c r="F43" s="8">
        <v>5728</v>
      </c>
      <c r="G43" s="8">
        <v>5638</v>
      </c>
      <c r="H43" s="9">
        <v>5873</v>
      </c>
      <c r="I43" s="8">
        <v>5343.9576407506702</v>
      </c>
      <c r="J43" s="8">
        <v>5123.5233243967832</v>
      </c>
    </row>
    <row r="44" spans="1:10" x14ac:dyDescent="0.25">
      <c r="A44" t="s">
        <v>44</v>
      </c>
      <c r="B44" s="8">
        <v>1750.0138415146573</v>
      </c>
      <c r="C44" s="8">
        <v>2011.2403974492067</v>
      </c>
      <c r="D44" s="8">
        <v>2295</v>
      </c>
      <c r="E44" s="8">
        <v>3675</v>
      </c>
      <c r="F44" s="8">
        <v>4790</v>
      </c>
      <c r="G44" s="8">
        <v>6036</v>
      </c>
      <c r="H44" s="9">
        <v>6482</v>
      </c>
      <c r="I44" s="8">
        <v>5940.593850390087</v>
      </c>
      <c r="J44" s="8">
        <v>5652.0422212023868</v>
      </c>
    </row>
    <row r="45" spans="1:10" x14ac:dyDescent="0.25">
      <c r="A45" t="s">
        <v>45</v>
      </c>
      <c r="B45" s="8">
        <v>3400.0268920856197</v>
      </c>
      <c r="C45" s="8">
        <v>3831.6629591180981</v>
      </c>
      <c r="D45" s="8">
        <v>3854</v>
      </c>
      <c r="E45" s="8">
        <v>4811</v>
      </c>
      <c r="F45" s="8">
        <v>5441</v>
      </c>
      <c r="G45" s="8">
        <v>5444</v>
      </c>
      <c r="H45" s="9">
        <v>5528</v>
      </c>
      <c r="I45" s="8">
        <v>5318.9961643835613</v>
      </c>
      <c r="J45" s="8">
        <v>4864.6399999999994</v>
      </c>
    </row>
    <row r="46" spans="1:10" x14ac:dyDescent="0.25">
      <c r="A46" t="s">
        <v>46</v>
      </c>
      <c r="B46" s="8">
        <v>2783.0954321418872</v>
      </c>
      <c r="C46" s="8">
        <v>2810.8236892148875</v>
      </c>
      <c r="D46" s="8">
        <v>2915</v>
      </c>
      <c r="E46" s="8">
        <v>4001</v>
      </c>
      <c r="F46" s="8">
        <v>4731</v>
      </c>
      <c r="G46" s="8">
        <v>4910</v>
      </c>
      <c r="H46" s="9">
        <v>5059</v>
      </c>
      <c r="I46" s="8">
        <v>4847.0890855457228</v>
      </c>
      <c r="J46" s="8">
        <v>4226.2796460176987</v>
      </c>
    </row>
    <row r="47" spans="1:10" x14ac:dyDescent="0.25">
      <c r="A47" t="s">
        <v>47</v>
      </c>
      <c r="B47" s="8">
        <v>3888.0472001456046</v>
      </c>
      <c r="C47" s="8">
        <v>4265.1857671540374</v>
      </c>
      <c r="D47" s="8">
        <v>4686</v>
      </c>
      <c r="E47" s="8">
        <v>5522</v>
      </c>
      <c r="F47" s="8">
        <v>5271</v>
      </c>
      <c r="G47" s="8">
        <v>4988</v>
      </c>
      <c r="H47" s="9">
        <v>4660</v>
      </c>
      <c r="I47" s="8">
        <v>4440.6740267286459</v>
      </c>
      <c r="J47" s="8">
        <v>4053.4689134224286</v>
      </c>
    </row>
    <row r="48" spans="1:10" x14ac:dyDescent="0.25">
      <c r="A48" t="s">
        <v>48</v>
      </c>
      <c r="B48" s="8">
        <v>2402.6240975550568</v>
      </c>
      <c r="C48" s="8">
        <v>2704.3349511618035</v>
      </c>
      <c r="D48" s="8">
        <v>2742</v>
      </c>
      <c r="E48" s="8">
        <v>3032</v>
      </c>
      <c r="F48" s="8">
        <v>3258</v>
      </c>
      <c r="G48" s="8">
        <v>3530</v>
      </c>
      <c r="H48" s="9">
        <v>3427</v>
      </c>
      <c r="I48" s="8">
        <v>3321.4221482098251</v>
      </c>
      <c r="J48" s="8">
        <v>3070.3180682764364</v>
      </c>
    </row>
    <row r="49" spans="1:10" x14ac:dyDescent="0.25">
      <c r="A49" s="3" t="s">
        <v>49</v>
      </c>
      <c r="B49" s="8">
        <v>2092.6525506451831</v>
      </c>
      <c r="C49" s="8">
        <v>2246.1404894029552</v>
      </c>
      <c r="D49" s="9">
        <v>2385</v>
      </c>
      <c r="E49" s="9">
        <v>3150</v>
      </c>
      <c r="F49" s="9">
        <v>4117</v>
      </c>
      <c r="G49" s="9">
        <v>5991</v>
      </c>
      <c r="H49" s="9">
        <v>6674</v>
      </c>
      <c r="I49" s="8">
        <v>7797.5438596491222</v>
      </c>
      <c r="J49" s="8">
        <v>9217.5438596491222</v>
      </c>
    </row>
    <row r="50" spans="1:10" x14ac:dyDescent="0.25">
      <c r="A50" t="s">
        <v>50</v>
      </c>
      <c r="B50" s="8">
        <v>2206.0395523532115</v>
      </c>
      <c r="C50" s="8">
        <v>2318.1940824773874</v>
      </c>
      <c r="D50" s="8">
        <v>2351</v>
      </c>
      <c r="E50" s="8">
        <v>3107</v>
      </c>
      <c r="F50" s="8">
        <v>3300</v>
      </c>
      <c r="G50" s="8">
        <v>3378</v>
      </c>
      <c r="H50" s="9">
        <v>3250</v>
      </c>
      <c r="I50" s="8">
        <v>2961.253701875617</v>
      </c>
      <c r="J50" s="8">
        <v>2749.5064165844028</v>
      </c>
    </row>
    <row r="51" spans="1:10" x14ac:dyDescent="0.25">
      <c r="A51" t="s">
        <v>51</v>
      </c>
      <c r="B51" s="8">
        <v>1544.9657054248657</v>
      </c>
      <c r="C51" s="8">
        <v>1548.9733985647485</v>
      </c>
      <c r="D51" s="8">
        <v>1692</v>
      </c>
      <c r="E51" s="8">
        <v>3323</v>
      </c>
      <c r="F51" s="8">
        <v>4419</v>
      </c>
      <c r="G51" s="8">
        <v>4740</v>
      </c>
      <c r="H51" s="9">
        <v>4227</v>
      </c>
      <c r="I51" s="8">
        <v>3807.8670886075947</v>
      </c>
      <c r="J51" s="8">
        <v>3644.3755274261603</v>
      </c>
    </row>
    <row r="52" spans="1:10" x14ac:dyDescent="0.25">
      <c r="A52" s="3" t="s">
        <v>52</v>
      </c>
      <c r="B52" s="8">
        <v>2313.9670071304686</v>
      </c>
      <c r="C52" s="8">
        <v>2407.583966082097</v>
      </c>
      <c r="D52" s="9">
        <v>2426</v>
      </c>
      <c r="E52" s="9">
        <v>2854</v>
      </c>
      <c r="F52" s="9">
        <v>3212</v>
      </c>
      <c r="G52" s="9">
        <v>3202</v>
      </c>
      <c r="H52" s="9">
        <v>3510</v>
      </c>
      <c r="I52" s="8">
        <v>3471.8478260869565</v>
      </c>
      <c r="J52" s="8">
        <v>3372.0652173913045</v>
      </c>
    </row>
    <row r="53" spans="1:10" x14ac:dyDescent="0.25">
      <c r="A53" t="s">
        <v>53</v>
      </c>
      <c r="B53" s="8">
        <v>1763.4585854692621</v>
      </c>
      <c r="C53" s="8">
        <v>2186.7700520331473</v>
      </c>
      <c r="D53" s="8">
        <v>2253</v>
      </c>
      <c r="E53" s="8">
        <v>2871</v>
      </c>
      <c r="F53" s="8">
        <v>3129</v>
      </c>
      <c r="G53" s="8">
        <v>3796</v>
      </c>
      <c r="H53" s="9">
        <v>3661</v>
      </c>
      <c r="I53" s="8">
        <v>3620.7059748427673</v>
      </c>
      <c r="J53" s="8">
        <v>3355.9166666666665</v>
      </c>
    </row>
    <row r="54" spans="1:10" x14ac:dyDescent="0.25">
      <c r="A54" s="3" t="s">
        <v>54</v>
      </c>
      <c r="B54" s="8">
        <v>1798.0943214629451</v>
      </c>
      <c r="C54" s="8">
        <v>2111.1645813282003</v>
      </c>
      <c r="D54" s="9">
        <v>2095</v>
      </c>
      <c r="E54" s="9">
        <v>2886</v>
      </c>
      <c r="F54" s="9">
        <v>3569</v>
      </c>
      <c r="G54" s="9">
        <v>3632</v>
      </c>
      <c r="H54" s="9">
        <v>3855</v>
      </c>
      <c r="I54" s="9">
        <v>3687</v>
      </c>
      <c r="J54" s="9">
        <v>3618</v>
      </c>
    </row>
    <row r="55" spans="1:10" x14ac:dyDescent="0.25">
      <c r="A55" t="s">
        <v>55</v>
      </c>
      <c r="B55" s="8">
        <v>2079.6082851352021</v>
      </c>
      <c r="C55" s="8">
        <v>1937.7704285926147</v>
      </c>
      <c r="D55" s="8">
        <v>1855</v>
      </c>
      <c r="E55" s="8">
        <v>2192</v>
      </c>
      <c r="F55" s="8">
        <v>2319</v>
      </c>
      <c r="G55" s="8">
        <v>2334</v>
      </c>
      <c r="H55" s="9">
        <v>2288</v>
      </c>
      <c r="I55" s="8">
        <v>1850.9333333333332</v>
      </c>
      <c r="J55" s="8">
        <v>1677.8666666666666</v>
      </c>
    </row>
    <row r="56" spans="1:10" x14ac:dyDescent="0.25">
      <c r="A56" t="s">
        <v>56</v>
      </c>
      <c r="B56" s="8">
        <v>1559.9712034773161</v>
      </c>
      <c r="C56" s="8">
        <v>1431.5996429541663</v>
      </c>
      <c r="D56" s="8">
        <v>1411</v>
      </c>
      <c r="E56" s="8">
        <v>1626</v>
      </c>
      <c r="F56" s="8">
        <v>1458</v>
      </c>
      <c r="G56" s="8">
        <v>1399</v>
      </c>
      <c r="H56" s="9">
        <v>1496</v>
      </c>
      <c r="I56" s="8">
        <v>1402.9308755760369</v>
      </c>
      <c r="J56" s="8">
        <v>1116.8294930875577</v>
      </c>
    </row>
    <row r="57" spans="1:10" x14ac:dyDescent="0.25">
      <c r="A57" t="s">
        <v>57</v>
      </c>
      <c r="B57" s="8">
        <v>1708.7085748034403</v>
      </c>
      <c r="C57" s="8">
        <v>1617.0266878299067</v>
      </c>
      <c r="D57" s="8">
        <v>1651</v>
      </c>
      <c r="E57" s="8">
        <v>2525</v>
      </c>
      <c r="F57" s="8">
        <v>2819</v>
      </c>
      <c r="G57" s="8">
        <v>2789</v>
      </c>
      <c r="H57" s="9">
        <v>2729</v>
      </c>
      <c r="I57" s="8">
        <v>2662.7328918322296</v>
      </c>
      <c r="J57" s="8">
        <v>2463.9315673289184</v>
      </c>
    </row>
    <row r="58" spans="1:10" x14ac:dyDescent="0.25">
      <c r="A58" t="s">
        <v>58</v>
      </c>
      <c r="B58" s="8">
        <v>1758.0757447122662</v>
      </c>
      <c r="C58" s="8">
        <v>1935.3945590786609</v>
      </c>
      <c r="D58" s="8">
        <v>1918</v>
      </c>
      <c r="E58" s="8">
        <v>2590</v>
      </c>
      <c r="F58" s="8">
        <v>3536</v>
      </c>
      <c r="G58" s="8">
        <v>3985</v>
      </c>
      <c r="H58" s="9">
        <v>3902</v>
      </c>
      <c r="I58" s="8">
        <v>3967.5011990407675</v>
      </c>
      <c r="J58" s="8">
        <v>3877.0471622701839</v>
      </c>
    </row>
    <row r="59" spans="1:10" x14ac:dyDescent="0.25">
      <c r="A59" t="s">
        <v>60</v>
      </c>
      <c r="B59" s="8">
        <v>1851.5511267821553</v>
      </c>
      <c r="C59" s="8">
        <v>1913.6366702437526</v>
      </c>
      <c r="D59" s="8">
        <v>2081</v>
      </c>
      <c r="E59" s="8">
        <v>2254</v>
      </c>
      <c r="F59" s="8">
        <v>2703</v>
      </c>
      <c r="G59" s="8">
        <v>3711</v>
      </c>
      <c r="H59" s="9">
        <v>3919</v>
      </c>
      <c r="I59" s="8">
        <v>3878.7575039494468</v>
      </c>
      <c r="J59" s="8">
        <v>3918.9999999999995</v>
      </c>
    </row>
    <row r="60" spans="1:10" x14ac:dyDescent="0.25">
      <c r="A60" s="3" t="s">
        <v>61</v>
      </c>
      <c r="B60" s="8">
        <v>1505.8906973110072</v>
      </c>
      <c r="C60" s="8">
        <v>1425.7368345133489</v>
      </c>
      <c r="D60" s="9">
        <v>1472</v>
      </c>
      <c r="E60" s="9">
        <v>1904</v>
      </c>
      <c r="F60" s="9">
        <v>1861</v>
      </c>
      <c r="G60" s="9">
        <v>2218</v>
      </c>
      <c r="H60" s="9">
        <v>2154</v>
      </c>
      <c r="I60" s="8">
        <v>1939.8414985590778</v>
      </c>
      <c r="J60" s="8">
        <v>1759.8242074927953</v>
      </c>
    </row>
    <row r="61" spans="1:10" x14ac:dyDescent="0.25">
      <c r="A61" t="s">
        <v>62</v>
      </c>
      <c r="B61" s="8">
        <v>1549.9753218497194</v>
      </c>
      <c r="C61" s="8">
        <v>1377.6445168347539</v>
      </c>
      <c r="D61" s="8">
        <v>1351</v>
      </c>
      <c r="E61" s="8">
        <v>1286</v>
      </c>
      <c r="F61" s="8">
        <v>1208</v>
      </c>
      <c r="G61" s="8">
        <v>1120</v>
      </c>
      <c r="H61" s="9">
        <v>972</v>
      </c>
      <c r="I61" s="8">
        <v>871.98713826366566</v>
      </c>
      <c r="J61" s="8">
        <v>793.85209003215436</v>
      </c>
    </row>
    <row r="62" spans="1:10" x14ac:dyDescent="0.25">
      <c r="A62" t="s">
        <v>63</v>
      </c>
      <c r="B62" s="8">
        <v>1579.8157224002332</v>
      </c>
      <c r="C62" s="8">
        <v>2046.8305418001748</v>
      </c>
      <c r="D62" s="8">
        <v>2059</v>
      </c>
      <c r="E62" s="8">
        <v>2693</v>
      </c>
      <c r="F62" s="8">
        <v>3279</v>
      </c>
      <c r="G62" s="8">
        <v>3016</v>
      </c>
      <c r="H62" s="9">
        <v>2537</v>
      </c>
      <c r="I62" s="8">
        <v>2010.5109223300969</v>
      </c>
      <c r="J62" s="8">
        <v>1644.1237864077668</v>
      </c>
    </row>
    <row r="63" spans="1:10" x14ac:dyDescent="0.25">
      <c r="H63" s="3"/>
    </row>
    <row r="64" spans="1:10" s="1" customFormat="1" x14ac:dyDescent="0.25">
      <c r="A64" s="1" t="s">
        <v>88</v>
      </c>
      <c r="H64" s="19"/>
    </row>
    <row r="65" spans="1:10" x14ac:dyDescent="0.25">
      <c r="B65" s="1" t="s">
        <v>87</v>
      </c>
      <c r="C65" s="1" t="s">
        <v>89</v>
      </c>
      <c r="D65" s="1" t="s">
        <v>90</v>
      </c>
    </row>
    <row r="66" spans="1:10" x14ac:dyDescent="0.25">
      <c r="A66">
        <v>1986</v>
      </c>
      <c r="B66" s="2" t="s">
        <v>3</v>
      </c>
      <c r="C66">
        <v>138645</v>
      </c>
      <c r="D66" s="2">
        <v>101814</v>
      </c>
    </row>
    <row r="67" spans="1:10" x14ac:dyDescent="0.25">
      <c r="A67">
        <v>1986</v>
      </c>
      <c r="B67" t="s">
        <v>33</v>
      </c>
      <c r="D67" s="3">
        <v>10145</v>
      </c>
    </row>
    <row r="68" spans="1:10" x14ac:dyDescent="0.25">
      <c r="A68">
        <v>1986</v>
      </c>
      <c r="B68" t="s">
        <v>34</v>
      </c>
      <c r="D68" s="3">
        <v>8096</v>
      </c>
    </row>
    <row r="69" spans="1:10" x14ac:dyDescent="0.25">
      <c r="D69" s="3"/>
      <c r="E69" s="1" t="s">
        <v>91</v>
      </c>
    </row>
    <row r="70" spans="1:10" x14ac:dyDescent="0.25">
      <c r="A70">
        <v>1986</v>
      </c>
      <c r="B70" t="s">
        <v>92</v>
      </c>
      <c r="C70">
        <v>138645</v>
      </c>
      <c r="D70">
        <f>D66+D67+D68</f>
        <v>120055</v>
      </c>
      <c r="E70">
        <f>C70/D70</f>
        <v>1.1548456957227937</v>
      </c>
    </row>
    <row r="71" spans="1:10" x14ac:dyDescent="0.25">
      <c r="A71">
        <v>1986</v>
      </c>
      <c r="B71" s="2" t="s">
        <v>4</v>
      </c>
      <c r="C71">
        <v>62370</v>
      </c>
      <c r="D71" s="2">
        <v>59435</v>
      </c>
      <c r="E71">
        <f>C71/D71</f>
        <v>1.0493816774627744</v>
      </c>
    </row>
    <row r="72" spans="1:10" x14ac:dyDescent="0.25">
      <c r="A72">
        <v>1986</v>
      </c>
      <c r="B72" s="2" t="s">
        <v>9</v>
      </c>
      <c r="C72">
        <v>56718</v>
      </c>
      <c r="D72" s="2">
        <v>54909</v>
      </c>
      <c r="E72">
        <f>C72/D72</f>
        <v>1.0329454187838059</v>
      </c>
    </row>
    <row r="74" spans="1:10" x14ac:dyDescent="0.25">
      <c r="A74" s="1" t="s">
        <v>93</v>
      </c>
    </row>
    <row r="75" spans="1:10" x14ac:dyDescent="0.25">
      <c r="A75" t="s">
        <v>3</v>
      </c>
      <c r="B75" s="8">
        <v>16352.440547311622</v>
      </c>
      <c r="C75" s="8">
        <v>19931.254075929854</v>
      </c>
      <c r="D75" s="8">
        <v>26401</v>
      </c>
      <c r="E75" s="8">
        <v>40646</v>
      </c>
      <c r="F75" s="8">
        <v>63303</v>
      </c>
      <c r="G75" s="8">
        <v>94777</v>
      </c>
      <c r="H75" s="8">
        <v>101814</v>
      </c>
      <c r="I75" s="8">
        <v>159234</v>
      </c>
      <c r="J75" s="8">
        <v>184908</v>
      </c>
    </row>
    <row r="76" spans="1:10" x14ac:dyDescent="0.25">
      <c r="A76" t="s">
        <v>33</v>
      </c>
      <c r="B76" s="8">
        <v>2056.5203700134903</v>
      </c>
      <c r="C76" s="8">
        <v>2241.7191366351899</v>
      </c>
      <c r="D76" s="8">
        <v>2567</v>
      </c>
      <c r="E76" s="8">
        <v>3408</v>
      </c>
      <c r="F76" s="8">
        <v>5962</v>
      </c>
      <c r="G76" s="8">
        <v>7841</v>
      </c>
      <c r="H76" s="8">
        <v>10145</v>
      </c>
      <c r="I76" s="8"/>
      <c r="J76" s="8"/>
    </row>
    <row r="77" spans="1:10" x14ac:dyDescent="0.25">
      <c r="A77" t="s">
        <v>34</v>
      </c>
      <c r="B77" s="8">
        <v>1657.6307188282906</v>
      </c>
      <c r="C77" s="8">
        <v>2263.0882250915397</v>
      </c>
      <c r="D77" s="8">
        <v>3017</v>
      </c>
      <c r="E77" s="8">
        <v>4614</v>
      </c>
      <c r="F77" s="8">
        <v>6719</v>
      </c>
      <c r="G77" s="8">
        <v>7619</v>
      </c>
      <c r="H77" s="8">
        <v>8096</v>
      </c>
      <c r="I77" s="8"/>
      <c r="J77" s="8"/>
    </row>
    <row r="78" spans="1:10" x14ac:dyDescent="0.25">
      <c r="A78" t="s">
        <v>92</v>
      </c>
      <c r="B78" s="8">
        <f>SUM(B75:B77)</f>
        <v>20066.591636153404</v>
      </c>
      <c r="C78" s="8">
        <f t="shared" ref="C78:H78" si="0">SUM(C75:C77)</f>
        <v>24436.061437656583</v>
      </c>
      <c r="D78" s="8">
        <f t="shared" si="0"/>
        <v>31985</v>
      </c>
      <c r="E78" s="8">
        <f t="shared" si="0"/>
        <v>48668</v>
      </c>
      <c r="F78" s="8">
        <f t="shared" si="0"/>
        <v>75984</v>
      </c>
      <c r="G78" s="8">
        <f t="shared" si="0"/>
        <v>110237</v>
      </c>
      <c r="H78" s="8">
        <f t="shared" si="0"/>
        <v>120055</v>
      </c>
      <c r="I78" s="8"/>
      <c r="J78" s="8"/>
    </row>
    <row r="79" spans="1:10" x14ac:dyDescent="0.25">
      <c r="A79" t="s">
        <v>4</v>
      </c>
      <c r="B79" s="8">
        <v>2558.1851609173254</v>
      </c>
      <c r="C79" s="8">
        <v>3446.5286953170171</v>
      </c>
      <c r="D79" s="8">
        <v>4712</v>
      </c>
      <c r="E79" s="8">
        <v>9572</v>
      </c>
      <c r="F79" s="8">
        <v>31606</v>
      </c>
      <c r="G79" s="8">
        <v>48153</v>
      </c>
      <c r="H79" s="8">
        <v>59435</v>
      </c>
      <c r="I79" s="8">
        <v>82832</v>
      </c>
      <c r="J79" s="8">
        <v>108882</v>
      </c>
    </row>
    <row r="80" spans="1:10" x14ac:dyDescent="0.25">
      <c r="A80" t="s">
        <v>9</v>
      </c>
      <c r="B80" s="8">
        <v>15074.744947064484</v>
      </c>
      <c r="C80" s="8">
        <v>18496.89124157844</v>
      </c>
      <c r="D80" s="8">
        <v>20330</v>
      </c>
      <c r="E80" s="8">
        <v>27787</v>
      </c>
      <c r="F80" s="8">
        <v>37466</v>
      </c>
      <c r="G80" s="8">
        <v>50814</v>
      </c>
      <c r="H80" s="8">
        <v>54909</v>
      </c>
      <c r="I80" s="8">
        <v>58675</v>
      </c>
      <c r="J80" s="8">
        <v>62118</v>
      </c>
    </row>
    <row r="81" spans="1:10" x14ac:dyDescent="0.25">
      <c r="H81" s="20"/>
    </row>
    <row r="82" spans="1:10" x14ac:dyDescent="0.25">
      <c r="A82" s="1" t="s">
        <v>94</v>
      </c>
    </row>
    <row r="83" spans="1:10" x14ac:dyDescent="0.25">
      <c r="A83" t="s">
        <v>95</v>
      </c>
      <c r="B83" s="8">
        <f>$E$70*B78</f>
        <v>23173.816978838771</v>
      </c>
      <c r="C83" s="8">
        <f t="shared" ref="C83:H83" si="1">$E$70*C78</f>
        <v>28219.880371695446</v>
      </c>
      <c r="D83" s="8">
        <f t="shared" si="1"/>
        <v>36937.739577693559</v>
      </c>
      <c r="E83" s="8">
        <f t="shared" si="1"/>
        <v>56204.030319436926</v>
      </c>
      <c r="F83" s="8">
        <f t="shared" si="1"/>
        <v>87749.795343800753</v>
      </c>
      <c r="G83" s="8">
        <f t="shared" si="1"/>
        <v>127306.72495939361</v>
      </c>
      <c r="H83" s="8">
        <f t="shared" si="1"/>
        <v>138645</v>
      </c>
      <c r="I83" s="8">
        <v>159234</v>
      </c>
      <c r="J83" s="8">
        <v>184908</v>
      </c>
    </row>
    <row r="84" spans="1:10" x14ac:dyDescent="0.25">
      <c r="A84" t="s">
        <v>96</v>
      </c>
      <c r="B84" s="8">
        <f>$E$71*B79</f>
        <v>2684.5126354238005</v>
      </c>
      <c r="C84" s="8">
        <f t="shared" ref="C84:H84" si="2">$E$71*C79</f>
        <v>3616.7240637153586</v>
      </c>
      <c r="D84" s="8">
        <f t="shared" si="2"/>
        <v>4944.686464204593</v>
      </c>
      <c r="E84" s="8">
        <f t="shared" si="2"/>
        <v>10044.681416673677</v>
      </c>
      <c r="F84" s="8">
        <f t="shared" si="2"/>
        <v>33166.757297888449</v>
      </c>
      <c r="G84" s="8">
        <f t="shared" si="2"/>
        <v>50530.875914864977</v>
      </c>
      <c r="H84" s="8">
        <f t="shared" si="2"/>
        <v>62370</v>
      </c>
      <c r="I84" s="8">
        <v>82832</v>
      </c>
      <c r="J84" s="8">
        <v>108882</v>
      </c>
    </row>
    <row r="85" spans="1:10" x14ac:dyDescent="0.25">
      <c r="A85" t="s">
        <v>97</v>
      </c>
      <c r="B85" s="8">
        <f>$E$72*B80</f>
        <v>15571.388732404585</v>
      </c>
      <c r="C85" s="8">
        <f t="shared" ref="C85:H85" si="3">$E$72*C80</f>
        <v>19106.279069730754</v>
      </c>
      <c r="D85" s="8">
        <f t="shared" si="3"/>
        <v>20999.780363874772</v>
      </c>
      <c r="E85" s="8">
        <f t="shared" si="3"/>
        <v>28702.454351745615</v>
      </c>
      <c r="F85" s="8">
        <f t="shared" si="3"/>
        <v>38700.333060154073</v>
      </c>
      <c r="G85" s="8">
        <f t="shared" si="3"/>
        <v>52488.088510080313</v>
      </c>
      <c r="H85" s="8">
        <f t="shared" si="3"/>
        <v>56717.999999999993</v>
      </c>
      <c r="I85" s="8">
        <v>58675</v>
      </c>
      <c r="J85" s="8">
        <v>62118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4"/>
  <sheetViews>
    <sheetView workbookViewId="0">
      <selection activeCell="F78" sqref="F78"/>
    </sheetView>
  </sheetViews>
  <sheetFormatPr defaultRowHeight="11.25" x14ac:dyDescent="0.2"/>
  <cols>
    <col min="1" max="1" width="13.42578125" style="10" customWidth="1"/>
    <col min="2" max="10" width="8.7109375" style="11" customWidth="1"/>
    <col min="11" max="11" width="9.140625" style="21"/>
    <col min="12" max="16384" width="9.140625" style="11"/>
  </cols>
  <sheetData>
    <row r="1" spans="1:11" s="10" customFormat="1" x14ac:dyDescent="0.2">
      <c r="B1" s="10">
        <v>1926</v>
      </c>
      <c r="C1" s="10">
        <v>1936</v>
      </c>
      <c r="D1" s="10">
        <v>1946</v>
      </c>
      <c r="E1" s="10">
        <v>1956</v>
      </c>
      <c r="F1" s="10">
        <v>1966</v>
      </c>
      <c r="G1" s="10">
        <v>1976</v>
      </c>
      <c r="H1" s="10">
        <v>1986</v>
      </c>
      <c r="I1" s="10">
        <v>1996</v>
      </c>
      <c r="J1" s="10">
        <v>2006</v>
      </c>
      <c r="K1" s="21"/>
    </row>
    <row r="2" spans="1:11" x14ac:dyDescent="0.2">
      <c r="A2" s="13" t="s">
        <v>24</v>
      </c>
      <c r="B2" s="12">
        <v>1343.1998458277126</v>
      </c>
      <c r="C2" s="12">
        <v>1763.4585854692621</v>
      </c>
      <c r="D2" s="14">
        <v>2806</v>
      </c>
      <c r="E2" s="14">
        <v>5445</v>
      </c>
      <c r="F2" s="14">
        <v>8637</v>
      </c>
      <c r="G2" s="14">
        <v>11542</v>
      </c>
      <c r="H2" s="14">
        <v>15954</v>
      </c>
      <c r="I2" s="12">
        <v>16944.576716417909</v>
      </c>
      <c r="J2" s="12">
        <v>17554.1623880597</v>
      </c>
      <c r="K2" s="21" t="s">
        <v>98</v>
      </c>
    </row>
    <row r="3" spans="1:11" x14ac:dyDescent="0.2">
      <c r="A3" s="13" t="s">
        <v>61</v>
      </c>
      <c r="B3" s="12">
        <v>1505.8906973110072</v>
      </c>
      <c r="C3" s="12">
        <v>1425.7368345133489</v>
      </c>
      <c r="D3" s="14">
        <v>1472</v>
      </c>
      <c r="E3" s="14">
        <v>1904</v>
      </c>
      <c r="F3" s="14">
        <v>1861</v>
      </c>
      <c r="G3" s="14">
        <v>2218</v>
      </c>
      <c r="H3" s="14">
        <v>2154</v>
      </c>
      <c r="I3" s="12">
        <v>1939.8414985590778</v>
      </c>
      <c r="J3" s="12">
        <v>1759.8242074927953</v>
      </c>
    </row>
    <row r="4" spans="1:11" x14ac:dyDescent="0.2">
      <c r="A4" s="11" t="s">
        <v>51</v>
      </c>
      <c r="B4" s="12">
        <v>1544.9657054248657</v>
      </c>
      <c r="C4" s="12">
        <v>1548.9733985647485</v>
      </c>
      <c r="D4" s="12">
        <v>1692</v>
      </c>
      <c r="E4" s="12">
        <v>3323</v>
      </c>
      <c r="F4" s="12">
        <v>4419</v>
      </c>
      <c r="G4" s="12">
        <v>4740</v>
      </c>
      <c r="H4" s="14">
        <v>4227</v>
      </c>
      <c r="I4" s="12">
        <v>3807.8670886075947</v>
      </c>
      <c r="J4" s="12">
        <v>3644.3755274261603</v>
      </c>
    </row>
    <row r="5" spans="1:11" x14ac:dyDescent="0.2">
      <c r="A5" s="11" t="s">
        <v>62</v>
      </c>
      <c r="B5" s="12">
        <v>1549.9753218497194</v>
      </c>
      <c r="C5" s="12">
        <v>1377.6445168347539</v>
      </c>
      <c r="D5" s="12">
        <v>1351</v>
      </c>
      <c r="E5" s="12">
        <v>1286</v>
      </c>
      <c r="F5" s="12">
        <v>1208</v>
      </c>
      <c r="G5" s="12">
        <v>1120</v>
      </c>
      <c r="H5" s="14">
        <v>972</v>
      </c>
      <c r="I5" s="12">
        <v>871.98713826366566</v>
      </c>
      <c r="J5" s="12">
        <v>793.85209003215436</v>
      </c>
    </row>
    <row r="6" spans="1:11" x14ac:dyDescent="0.2">
      <c r="A6" s="11" t="s">
        <v>39</v>
      </c>
      <c r="B6" s="12">
        <v>1554.8555791096551</v>
      </c>
      <c r="C6" s="12">
        <v>1827.5658508383119</v>
      </c>
      <c r="D6" s="12">
        <v>2175</v>
      </c>
      <c r="E6" s="12">
        <v>3552</v>
      </c>
      <c r="F6" s="12">
        <v>4497</v>
      </c>
      <c r="G6" s="12">
        <v>4783</v>
      </c>
      <c r="H6" s="14">
        <v>5281</v>
      </c>
      <c r="I6" s="14">
        <v>5667.0468303826392</v>
      </c>
      <c r="J6" s="12">
        <v>6083.2535693889213</v>
      </c>
    </row>
    <row r="7" spans="1:11" x14ac:dyDescent="0.2">
      <c r="A7" s="11" t="s">
        <v>56</v>
      </c>
      <c r="B7" s="12">
        <v>1559.9712034773161</v>
      </c>
      <c r="C7" s="12">
        <v>1431.5996429541663</v>
      </c>
      <c r="D7" s="12">
        <v>1411</v>
      </c>
      <c r="E7" s="12">
        <v>1626</v>
      </c>
      <c r="F7" s="12">
        <v>1458</v>
      </c>
      <c r="G7" s="12">
        <v>1399</v>
      </c>
      <c r="H7" s="14">
        <v>1496</v>
      </c>
      <c r="I7" s="12">
        <v>1402.9308755760369</v>
      </c>
      <c r="J7" s="12">
        <v>1116.8294930875577</v>
      </c>
    </row>
    <row r="8" spans="1:11" x14ac:dyDescent="0.2">
      <c r="A8" s="11" t="s">
        <v>63</v>
      </c>
      <c r="B8" s="12">
        <v>1579.8157224002332</v>
      </c>
      <c r="C8" s="12">
        <v>2046.8305418001748</v>
      </c>
      <c r="D8" s="12">
        <v>2059</v>
      </c>
      <c r="E8" s="12">
        <v>2693</v>
      </c>
      <c r="F8" s="12">
        <v>3279</v>
      </c>
      <c r="G8" s="12">
        <v>3016</v>
      </c>
      <c r="H8" s="14">
        <v>2537</v>
      </c>
      <c r="I8" s="12">
        <v>2010.5109223300969</v>
      </c>
      <c r="J8" s="12">
        <v>1644.1237864077668</v>
      </c>
    </row>
    <row r="9" spans="1:11" x14ac:dyDescent="0.2">
      <c r="A9" s="11" t="s">
        <v>34</v>
      </c>
      <c r="B9" s="12">
        <v>1657.6307188282906</v>
      </c>
      <c r="C9" s="12">
        <v>2263.0882250915397</v>
      </c>
      <c r="D9" s="12">
        <v>3017</v>
      </c>
      <c r="E9" s="12">
        <v>4614</v>
      </c>
      <c r="F9" s="12">
        <v>6719</v>
      </c>
      <c r="G9" s="12">
        <v>7619</v>
      </c>
      <c r="H9" s="14">
        <v>8096</v>
      </c>
      <c r="I9" s="12">
        <v>8766.5276073619625</v>
      </c>
      <c r="J9" s="12">
        <v>9229.067484662577</v>
      </c>
    </row>
    <row r="10" spans="1:11" x14ac:dyDescent="0.2">
      <c r="A10" s="11" t="s">
        <v>57</v>
      </c>
      <c r="B10" s="12">
        <v>1708.7085748034403</v>
      </c>
      <c r="C10" s="12">
        <v>1617.0266878299067</v>
      </c>
      <c r="D10" s="12">
        <v>1651</v>
      </c>
      <c r="E10" s="12">
        <v>2525</v>
      </c>
      <c r="F10" s="12">
        <v>2819</v>
      </c>
      <c r="G10" s="12">
        <v>2789</v>
      </c>
      <c r="H10" s="14">
        <v>2729</v>
      </c>
      <c r="I10" s="12">
        <v>2662.7328918322296</v>
      </c>
      <c r="J10" s="12">
        <v>2463.9315673289184</v>
      </c>
    </row>
    <row r="11" spans="1:11" x14ac:dyDescent="0.2">
      <c r="A11" s="11" t="s">
        <v>32</v>
      </c>
      <c r="B11" s="12">
        <v>1745.1422239352478</v>
      </c>
      <c r="C11" s="12">
        <v>1976.1318943919832</v>
      </c>
      <c r="D11" s="12">
        <v>2870</v>
      </c>
      <c r="E11" s="12">
        <v>4187</v>
      </c>
      <c r="F11" s="12">
        <v>5401</v>
      </c>
      <c r="G11" s="12">
        <v>5559</v>
      </c>
      <c r="H11" s="14">
        <v>6750</v>
      </c>
      <c r="I11" s="12">
        <v>6062.6331487004691</v>
      </c>
      <c r="J11" s="12">
        <v>5651.3634426927993</v>
      </c>
    </row>
    <row r="12" spans="1:11" x14ac:dyDescent="0.2">
      <c r="A12" s="11"/>
      <c r="B12" s="12"/>
      <c r="C12" s="12"/>
      <c r="D12" s="12"/>
      <c r="E12" s="12"/>
      <c r="F12" s="12"/>
      <c r="G12" s="12"/>
      <c r="H12" s="14"/>
      <c r="I12" s="12"/>
      <c r="J12" s="12"/>
    </row>
    <row r="13" spans="1:11" s="10" customFormat="1" x14ac:dyDescent="0.2">
      <c r="B13" s="10">
        <v>1926</v>
      </c>
      <c r="C13" s="10">
        <v>1936</v>
      </c>
      <c r="D13" s="10">
        <v>1946</v>
      </c>
      <c r="E13" s="10">
        <v>1956</v>
      </c>
      <c r="F13" s="10">
        <v>1966</v>
      </c>
      <c r="G13" s="10">
        <v>1976</v>
      </c>
      <c r="H13" s="10">
        <v>1986</v>
      </c>
      <c r="I13" s="10">
        <v>1996</v>
      </c>
      <c r="J13" s="10">
        <v>2006</v>
      </c>
      <c r="K13" s="21"/>
    </row>
    <row r="14" spans="1:11" x14ac:dyDescent="0.2">
      <c r="A14" s="11" t="s">
        <v>44</v>
      </c>
      <c r="B14" s="12">
        <v>1750.0138415146573</v>
      </c>
      <c r="C14" s="12">
        <v>2011.2403974492067</v>
      </c>
      <c r="D14" s="12">
        <v>2295</v>
      </c>
      <c r="E14" s="12">
        <v>3675</v>
      </c>
      <c r="F14" s="12">
        <v>4790</v>
      </c>
      <c r="G14" s="12">
        <v>6036</v>
      </c>
      <c r="H14" s="14">
        <v>6482</v>
      </c>
      <c r="I14" s="12">
        <v>5940.593850390087</v>
      </c>
      <c r="J14" s="12">
        <v>5652.0422212023868</v>
      </c>
    </row>
    <row r="15" spans="1:11" x14ac:dyDescent="0.2">
      <c r="A15" s="11" t="s">
        <v>58</v>
      </c>
      <c r="B15" s="12">
        <v>1758.0757447122662</v>
      </c>
      <c r="C15" s="12">
        <v>1935.3945590786609</v>
      </c>
      <c r="D15" s="12">
        <v>1918</v>
      </c>
      <c r="E15" s="12">
        <v>2590</v>
      </c>
      <c r="F15" s="12">
        <v>3536</v>
      </c>
      <c r="G15" s="12">
        <v>3985</v>
      </c>
      <c r="H15" s="14">
        <v>3902</v>
      </c>
      <c r="I15" s="12">
        <v>3967.5011990407675</v>
      </c>
      <c r="J15" s="12">
        <v>3877.0471622701839</v>
      </c>
    </row>
    <row r="16" spans="1:11" x14ac:dyDescent="0.2">
      <c r="A16" s="11" t="s">
        <v>53</v>
      </c>
      <c r="B16" s="12">
        <v>1763.4585854692621</v>
      </c>
      <c r="C16" s="12">
        <v>2186.7700520331473</v>
      </c>
      <c r="D16" s="12">
        <v>2253</v>
      </c>
      <c r="E16" s="12">
        <v>2871</v>
      </c>
      <c r="F16" s="12">
        <v>3129</v>
      </c>
      <c r="G16" s="12">
        <v>3796</v>
      </c>
      <c r="H16" s="14">
        <v>3661</v>
      </c>
      <c r="I16" s="12">
        <v>3620.7059748427673</v>
      </c>
      <c r="J16" s="12">
        <v>3355.9166666666665</v>
      </c>
    </row>
    <row r="17" spans="1:11" x14ac:dyDescent="0.2">
      <c r="A17" s="13" t="s">
        <v>54</v>
      </c>
      <c r="B17" s="12">
        <v>1798.0943214629451</v>
      </c>
      <c r="C17" s="12">
        <v>2111.1645813282003</v>
      </c>
      <c r="D17" s="14">
        <v>2095</v>
      </c>
      <c r="E17" s="14">
        <v>2886</v>
      </c>
      <c r="F17" s="14">
        <v>3569</v>
      </c>
      <c r="G17" s="14">
        <v>3632</v>
      </c>
      <c r="H17" s="14">
        <v>3855</v>
      </c>
      <c r="I17" s="14">
        <v>3687</v>
      </c>
      <c r="J17" s="14">
        <v>3618</v>
      </c>
    </row>
    <row r="18" spans="1:11" x14ac:dyDescent="0.2">
      <c r="A18" s="11" t="s">
        <v>60</v>
      </c>
      <c r="B18" s="12">
        <v>1851.5511267821553</v>
      </c>
      <c r="C18" s="12">
        <v>1913.6366702437526</v>
      </c>
      <c r="D18" s="12">
        <v>2081</v>
      </c>
      <c r="E18" s="12">
        <v>2254</v>
      </c>
      <c r="F18" s="12">
        <v>2703</v>
      </c>
      <c r="G18" s="12">
        <v>3711</v>
      </c>
      <c r="H18" s="14">
        <v>3919</v>
      </c>
      <c r="I18" s="12">
        <v>3878.7575039494468</v>
      </c>
      <c r="J18" s="12">
        <v>3918.9999999999995</v>
      </c>
    </row>
    <row r="19" spans="1:11" x14ac:dyDescent="0.2">
      <c r="A19" s="13" t="s">
        <v>31</v>
      </c>
      <c r="B19" s="12">
        <v>1958.4594551722269</v>
      </c>
      <c r="C19" s="12">
        <v>2217.2777182386917</v>
      </c>
      <c r="D19" s="12">
        <v>2370</v>
      </c>
      <c r="E19" s="14">
        <v>3306</v>
      </c>
      <c r="F19" s="14">
        <v>3902</v>
      </c>
      <c r="G19" s="14">
        <v>4559</v>
      </c>
      <c r="H19" s="14">
        <v>4859</v>
      </c>
      <c r="I19" s="12">
        <v>4469.6364238410597</v>
      </c>
      <c r="J19" s="12">
        <v>4228.2953642384109</v>
      </c>
    </row>
    <row r="20" spans="1:11" x14ac:dyDescent="0.2">
      <c r="A20" s="11" t="s">
        <v>33</v>
      </c>
      <c r="B20" s="12">
        <v>2056.5203700134903</v>
      </c>
      <c r="C20" s="12">
        <v>2241.7191366351899</v>
      </c>
      <c r="D20" s="12">
        <v>2567</v>
      </c>
      <c r="E20" s="12">
        <v>3408</v>
      </c>
      <c r="F20" s="12">
        <v>5962</v>
      </c>
      <c r="G20" s="12">
        <v>7841</v>
      </c>
      <c r="H20" s="14">
        <v>10145</v>
      </c>
      <c r="I20" s="12">
        <v>11417.600256657042</v>
      </c>
      <c r="J20" s="12">
        <v>12546.992300288741</v>
      </c>
    </row>
    <row r="21" spans="1:11" x14ac:dyDescent="0.2">
      <c r="A21" s="11" t="s">
        <v>55</v>
      </c>
      <c r="B21" s="12">
        <v>2079.6082851352021</v>
      </c>
      <c r="C21" s="12">
        <v>1937.7704285926147</v>
      </c>
      <c r="D21" s="12">
        <v>1855</v>
      </c>
      <c r="E21" s="12">
        <v>2192</v>
      </c>
      <c r="F21" s="12">
        <v>2319</v>
      </c>
      <c r="G21" s="12">
        <v>2334</v>
      </c>
      <c r="H21" s="14">
        <v>2288</v>
      </c>
      <c r="I21" s="12">
        <v>1850.9333333333332</v>
      </c>
      <c r="J21" s="12">
        <v>1677.8666666666666</v>
      </c>
    </row>
    <row r="22" spans="1:11" x14ac:dyDescent="0.2">
      <c r="A22" s="13" t="s">
        <v>49</v>
      </c>
      <c r="B22" s="12">
        <v>2092.6525506451831</v>
      </c>
      <c r="C22" s="12">
        <v>2246.1404894029552</v>
      </c>
      <c r="D22" s="14">
        <v>2385</v>
      </c>
      <c r="E22" s="14">
        <v>3150</v>
      </c>
      <c r="F22" s="14">
        <v>4117</v>
      </c>
      <c r="G22" s="14">
        <v>5991</v>
      </c>
      <c r="H22" s="14">
        <v>6674</v>
      </c>
      <c r="I22" s="12">
        <v>7797.5438596491222</v>
      </c>
      <c r="J22" s="12">
        <v>9217.5438596491222</v>
      </c>
      <c r="K22" s="21" t="s">
        <v>99</v>
      </c>
    </row>
    <row r="23" spans="1:11" x14ac:dyDescent="0.2">
      <c r="A23" s="11" t="s">
        <v>50</v>
      </c>
      <c r="B23" s="12">
        <v>2206.0395523532115</v>
      </c>
      <c r="C23" s="12">
        <v>2318.1940824773874</v>
      </c>
      <c r="D23" s="12">
        <v>2351</v>
      </c>
      <c r="E23" s="12">
        <v>3107</v>
      </c>
      <c r="F23" s="12">
        <v>3300</v>
      </c>
      <c r="G23" s="12">
        <v>3378</v>
      </c>
      <c r="H23" s="14">
        <v>3250</v>
      </c>
      <c r="I23" s="12">
        <v>2961.253701875617</v>
      </c>
      <c r="J23" s="12">
        <v>2749.5064165844028</v>
      </c>
    </row>
    <row r="24" spans="1:11" x14ac:dyDescent="0.2">
      <c r="A24" s="11"/>
      <c r="B24" s="12"/>
      <c r="C24" s="12"/>
      <c r="D24" s="12"/>
      <c r="E24" s="12"/>
      <c r="F24" s="12"/>
      <c r="G24" s="12"/>
      <c r="H24" s="14"/>
      <c r="I24" s="12"/>
      <c r="J24" s="12"/>
    </row>
    <row r="25" spans="1:11" s="10" customFormat="1" x14ac:dyDescent="0.2">
      <c r="B25" s="10">
        <v>1926</v>
      </c>
      <c r="C25" s="10">
        <v>1936</v>
      </c>
      <c r="D25" s="10">
        <v>1946</v>
      </c>
      <c r="E25" s="10">
        <v>1956</v>
      </c>
      <c r="F25" s="10">
        <v>1966</v>
      </c>
      <c r="G25" s="10">
        <v>1976</v>
      </c>
      <c r="H25" s="10">
        <v>1986</v>
      </c>
      <c r="I25" s="10">
        <v>1996</v>
      </c>
      <c r="J25" s="10">
        <v>2006</v>
      </c>
      <c r="K25" s="21"/>
    </row>
    <row r="26" spans="1:11" x14ac:dyDescent="0.2">
      <c r="A26" s="11" t="s">
        <v>41</v>
      </c>
      <c r="B26" s="12">
        <v>2285.4765067345293</v>
      </c>
      <c r="C26" s="12">
        <v>2660.7669294270995</v>
      </c>
      <c r="D26" s="12">
        <v>2857</v>
      </c>
      <c r="E26" s="12">
        <v>3796</v>
      </c>
      <c r="F26" s="12">
        <v>5100</v>
      </c>
      <c r="G26" s="12">
        <v>5466</v>
      </c>
      <c r="H26" s="14">
        <v>5094</v>
      </c>
      <c r="I26" s="14">
        <v>4758.1318681318689</v>
      </c>
      <c r="J26" s="12">
        <v>3940.2307692307695</v>
      </c>
    </row>
    <row r="27" spans="1:11" x14ac:dyDescent="0.2">
      <c r="A27" s="13" t="s">
        <v>52</v>
      </c>
      <c r="B27" s="12">
        <v>2313.9670071304686</v>
      </c>
      <c r="C27" s="12">
        <v>2407.583966082097</v>
      </c>
      <c r="D27" s="14">
        <v>2426</v>
      </c>
      <c r="E27" s="14">
        <v>2854</v>
      </c>
      <c r="F27" s="14">
        <v>3212</v>
      </c>
      <c r="G27" s="14">
        <v>3202</v>
      </c>
      <c r="H27" s="14">
        <v>3510</v>
      </c>
      <c r="I27" s="12">
        <v>3471.8478260869565</v>
      </c>
      <c r="J27" s="12">
        <v>3372.0652173913045</v>
      </c>
    </row>
    <row r="28" spans="1:11" x14ac:dyDescent="0.2">
      <c r="A28" s="11" t="s">
        <v>36</v>
      </c>
      <c r="B28" s="12">
        <v>2333.6919274309162</v>
      </c>
      <c r="C28" s="12">
        <v>2693.8988580750411</v>
      </c>
      <c r="D28" s="12">
        <v>2706</v>
      </c>
      <c r="E28" s="12">
        <v>3344</v>
      </c>
      <c r="F28" s="12">
        <v>5864</v>
      </c>
      <c r="G28" s="12">
        <v>6479</v>
      </c>
      <c r="H28" s="14">
        <v>6387</v>
      </c>
      <c r="I28" s="14">
        <v>5613.1053412462907</v>
      </c>
      <c r="J28" s="12">
        <v>4573.8753709198809</v>
      </c>
    </row>
    <row r="29" spans="1:11" x14ac:dyDescent="0.2">
      <c r="A29" s="13" t="s">
        <v>35</v>
      </c>
      <c r="B29" s="12">
        <v>2362.8106378878397</v>
      </c>
      <c r="C29" s="12">
        <v>2542.9215263056467</v>
      </c>
      <c r="D29" s="12">
        <v>2720</v>
      </c>
      <c r="E29" s="14">
        <v>3781</v>
      </c>
      <c r="F29" s="14">
        <v>4825</v>
      </c>
      <c r="G29" s="14">
        <v>4840</v>
      </c>
      <c r="H29" s="14">
        <v>4521</v>
      </c>
      <c r="I29" s="14">
        <v>4299</v>
      </c>
      <c r="J29" s="14">
        <v>3885</v>
      </c>
    </row>
    <row r="30" spans="1:11" x14ac:dyDescent="0.2">
      <c r="A30" s="11" t="s">
        <v>48</v>
      </c>
      <c r="B30" s="12">
        <v>2402.6240975550568</v>
      </c>
      <c r="C30" s="12">
        <v>2704.3349511618035</v>
      </c>
      <c r="D30" s="12">
        <v>2742</v>
      </c>
      <c r="E30" s="12">
        <v>3032</v>
      </c>
      <c r="F30" s="12">
        <v>3258</v>
      </c>
      <c r="G30" s="12">
        <v>3530</v>
      </c>
      <c r="H30" s="14">
        <v>3427</v>
      </c>
      <c r="I30" s="12">
        <v>3321.4221482098251</v>
      </c>
      <c r="J30" s="12">
        <v>3070.3180682764364</v>
      </c>
    </row>
    <row r="31" spans="1:11" x14ac:dyDescent="0.2">
      <c r="A31" s="11" t="s">
        <v>4</v>
      </c>
      <c r="B31" s="12">
        <v>2684.5126354238005</v>
      </c>
      <c r="C31" s="12">
        <v>3616.7240637153586</v>
      </c>
      <c r="D31" s="12">
        <v>4944.686464204593</v>
      </c>
      <c r="E31" s="12">
        <v>10044.681416673677</v>
      </c>
      <c r="F31" s="12">
        <v>33166.757297888449</v>
      </c>
      <c r="G31" s="12">
        <v>50530.875914864977</v>
      </c>
      <c r="H31" s="17">
        <v>62370</v>
      </c>
      <c r="I31" s="12">
        <v>82832</v>
      </c>
      <c r="J31" s="12">
        <v>108882</v>
      </c>
    </row>
    <row r="32" spans="1:11" x14ac:dyDescent="0.2">
      <c r="A32" s="11" t="s">
        <v>46</v>
      </c>
      <c r="B32" s="12">
        <v>2783.0954321418872</v>
      </c>
      <c r="C32" s="12">
        <v>2810.8236892148875</v>
      </c>
      <c r="D32" s="12">
        <v>2915</v>
      </c>
      <c r="E32" s="12">
        <v>4001</v>
      </c>
      <c r="F32" s="12">
        <v>4731</v>
      </c>
      <c r="G32" s="12">
        <v>4910</v>
      </c>
      <c r="H32" s="14">
        <v>5059</v>
      </c>
      <c r="I32" s="12">
        <v>4847.0890855457228</v>
      </c>
      <c r="J32" s="12">
        <v>4226.2796460176987</v>
      </c>
    </row>
    <row r="33" spans="1:11" x14ac:dyDescent="0.2">
      <c r="A33" s="13" t="s">
        <v>22</v>
      </c>
      <c r="B33" s="12">
        <v>2936.2216366182956</v>
      </c>
      <c r="C33" s="12">
        <v>3304.1816723672437</v>
      </c>
      <c r="D33" s="12">
        <v>4021.1581207704321</v>
      </c>
      <c r="E33" s="12">
        <v>8005.3003643935454</v>
      </c>
      <c r="F33" s="12">
        <v>14068.501041124415</v>
      </c>
      <c r="G33" s="12">
        <v>18210.577693909421</v>
      </c>
      <c r="H33" s="14">
        <v>18962</v>
      </c>
      <c r="I33" s="12">
        <v>19357.533623910338</v>
      </c>
      <c r="J33" s="12">
        <v>19171.573785803237</v>
      </c>
    </row>
    <row r="34" spans="1:11" x14ac:dyDescent="0.2">
      <c r="A34" s="11" t="s">
        <v>45</v>
      </c>
      <c r="B34" s="12">
        <v>3400.0268920856197</v>
      </c>
      <c r="C34" s="12">
        <v>3831.6629591180981</v>
      </c>
      <c r="D34" s="12">
        <v>3854</v>
      </c>
      <c r="E34" s="12">
        <v>4811</v>
      </c>
      <c r="F34" s="12">
        <v>5441</v>
      </c>
      <c r="G34" s="12">
        <v>5444</v>
      </c>
      <c r="H34" s="14">
        <v>5528</v>
      </c>
      <c r="I34" s="12">
        <v>5318.9961643835613</v>
      </c>
      <c r="J34" s="12">
        <v>4864.6399999999994</v>
      </c>
    </row>
    <row r="35" spans="1:11" x14ac:dyDescent="0.2">
      <c r="A35" s="13" t="s">
        <v>2</v>
      </c>
      <c r="B35" s="12">
        <v>3457.6072768868512</v>
      </c>
      <c r="C35" s="12">
        <v>3800.8201361877136</v>
      </c>
      <c r="D35" s="12">
        <v>4867.0256437539902</v>
      </c>
      <c r="E35" s="12">
        <v>6896.7915513939133</v>
      </c>
      <c r="F35" s="12">
        <v>9629.6213024047665</v>
      </c>
      <c r="G35" s="12">
        <v>12899.309427537773</v>
      </c>
      <c r="H35" s="14">
        <v>13823</v>
      </c>
      <c r="I35" s="14">
        <v>16267.19514429684</v>
      </c>
      <c r="J35" s="14">
        <v>22518</v>
      </c>
    </row>
    <row r="36" spans="1:11" x14ac:dyDescent="0.2">
      <c r="A36" s="13"/>
      <c r="B36" s="12"/>
      <c r="C36" s="12"/>
      <c r="D36" s="12"/>
      <c r="E36" s="12"/>
      <c r="F36" s="12"/>
      <c r="G36" s="12"/>
      <c r="H36" s="14"/>
      <c r="I36" s="14"/>
      <c r="J36" s="14"/>
    </row>
    <row r="37" spans="1:11" s="10" customFormat="1" x14ac:dyDescent="0.2">
      <c r="B37" s="10">
        <v>1926</v>
      </c>
      <c r="C37" s="10">
        <v>1936</v>
      </c>
      <c r="D37" s="10">
        <v>1946</v>
      </c>
      <c r="E37" s="10">
        <v>1956</v>
      </c>
      <c r="F37" s="10">
        <v>1966</v>
      </c>
      <c r="G37" s="10">
        <v>1976</v>
      </c>
      <c r="H37" s="10">
        <v>1986</v>
      </c>
      <c r="I37" s="10">
        <v>1996</v>
      </c>
      <c r="J37" s="10">
        <v>2006</v>
      </c>
      <c r="K37" s="21"/>
    </row>
    <row r="38" spans="1:11" x14ac:dyDescent="0.2">
      <c r="A38" s="11" t="s">
        <v>38</v>
      </c>
      <c r="B38" s="12">
        <v>3782.3286567739451</v>
      </c>
      <c r="C38" s="12">
        <v>3984.8262092888804</v>
      </c>
      <c r="D38" s="12">
        <v>3756</v>
      </c>
      <c r="E38" s="12">
        <v>3075</v>
      </c>
      <c r="F38" s="12">
        <v>3169</v>
      </c>
      <c r="G38" s="12">
        <v>3415</v>
      </c>
      <c r="H38" s="14">
        <v>3679</v>
      </c>
      <c r="I38" s="14">
        <v>4177.7025561580167</v>
      </c>
      <c r="J38" s="12">
        <v>3895.5793958171957</v>
      </c>
    </row>
    <row r="39" spans="1:11" x14ac:dyDescent="0.2">
      <c r="A39" s="11" t="s">
        <v>47</v>
      </c>
      <c r="B39" s="12">
        <v>3888.0472001456046</v>
      </c>
      <c r="C39" s="12">
        <v>4265.1857671540374</v>
      </c>
      <c r="D39" s="12">
        <v>4686</v>
      </c>
      <c r="E39" s="12">
        <v>5522</v>
      </c>
      <c r="F39" s="12">
        <v>5271</v>
      </c>
      <c r="G39" s="12">
        <v>4988</v>
      </c>
      <c r="H39" s="14">
        <v>4660</v>
      </c>
      <c r="I39" s="12">
        <v>4440.6740267286459</v>
      </c>
      <c r="J39" s="12">
        <v>4053.4689134224286</v>
      </c>
    </row>
    <row r="40" spans="1:11" x14ac:dyDescent="0.2">
      <c r="A40" s="11" t="s">
        <v>5</v>
      </c>
      <c r="B40" s="12">
        <v>4211.7455771825016</v>
      </c>
      <c r="C40" s="12">
        <v>6645.7865099248411</v>
      </c>
      <c r="D40" s="12">
        <v>7512</v>
      </c>
      <c r="E40" s="12">
        <v>12302</v>
      </c>
      <c r="F40" s="12">
        <v>33229</v>
      </c>
      <c r="G40" s="12">
        <v>46650</v>
      </c>
      <c r="H40" s="12">
        <v>48855</v>
      </c>
      <c r="I40" s="12">
        <v>52956</v>
      </c>
      <c r="J40" s="12">
        <v>53766</v>
      </c>
    </row>
    <row r="41" spans="1:11" x14ac:dyDescent="0.2">
      <c r="A41" s="11" t="s">
        <v>43</v>
      </c>
      <c r="B41" s="12">
        <v>4275.8014100623832</v>
      </c>
      <c r="C41" s="12">
        <v>4417.8579602081873</v>
      </c>
      <c r="D41" s="12">
        <v>4334</v>
      </c>
      <c r="E41" s="12">
        <v>5294</v>
      </c>
      <c r="F41" s="12">
        <v>5728</v>
      </c>
      <c r="G41" s="12">
        <v>5638</v>
      </c>
      <c r="H41" s="14">
        <v>5873</v>
      </c>
      <c r="I41" s="12">
        <v>5343.9576407506702</v>
      </c>
      <c r="J41" s="12">
        <v>5123.5233243967832</v>
      </c>
    </row>
    <row r="42" spans="1:11" x14ac:dyDescent="0.2">
      <c r="A42" s="13" t="s">
        <v>27</v>
      </c>
      <c r="B42" s="12">
        <v>4532.7980071178126</v>
      </c>
      <c r="C42" s="12">
        <v>4843.6427741629986</v>
      </c>
      <c r="D42" s="12">
        <v>5284.1533509409046</v>
      </c>
      <c r="E42" s="12">
        <v>7168.1056454275331</v>
      </c>
      <c r="F42" s="12">
        <v>9542.3293166061394</v>
      </c>
      <c r="G42" s="12">
        <v>11509.754539451964</v>
      </c>
      <c r="H42" s="14">
        <v>12802</v>
      </c>
      <c r="I42" s="12">
        <v>13758.165975103735</v>
      </c>
      <c r="J42" s="12">
        <v>13389.448376861119</v>
      </c>
      <c r="K42" s="21" t="s">
        <v>100</v>
      </c>
    </row>
    <row r="43" spans="1:11" x14ac:dyDescent="0.2">
      <c r="A43" s="13" t="s">
        <v>28</v>
      </c>
      <c r="B43" s="12">
        <v>4592.8934697711211</v>
      </c>
      <c r="C43" s="12">
        <v>4758.2008996984532</v>
      </c>
      <c r="D43" s="14">
        <v>4840</v>
      </c>
      <c r="E43" s="14">
        <v>5620</v>
      </c>
      <c r="F43" s="14">
        <v>8142</v>
      </c>
      <c r="G43" s="14">
        <v>8506</v>
      </c>
      <c r="H43" s="14">
        <v>11375</v>
      </c>
      <c r="I43" s="12">
        <v>10983.72235872236</v>
      </c>
      <c r="J43" s="12">
        <v>9977.5798525798527</v>
      </c>
    </row>
    <row r="44" spans="1:11" x14ac:dyDescent="0.2">
      <c r="A44" s="13" t="s">
        <v>30</v>
      </c>
      <c r="B44" s="12">
        <v>5146.6903863731477</v>
      </c>
      <c r="C44" s="12">
        <v>6093.2081585797032</v>
      </c>
      <c r="D44" s="12">
        <v>6544.6823365138471</v>
      </c>
      <c r="E44" s="12">
        <v>8595.7857807772871</v>
      </c>
      <c r="F44" s="12">
        <v>10607.621131021644</v>
      </c>
      <c r="G44" s="12">
        <v>12014.727833372121</v>
      </c>
      <c r="H44" s="14">
        <v>11249</v>
      </c>
      <c r="I44" s="12">
        <v>10546.123643102992</v>
      </c>
      <c r="J44" s="12">
        <v>9622.8538522637009</v>
      </c>
    </row>
    <row r="45" spans="1:11" x14ac:dyDescent="0.2">
      <c r="A45" s="13" t="s">
        <v>25</v>
      </c>
      <c r="B45" s="12">
        <v>5522.8304174635523</v>
      </c>
      <c r="C45" s="12">
        <v>6177.1787566316416</v>
      </c>
      <c r="D45" s="12">
        <v>8195.2209550962216</v>
      </c>
      <c r="E45" s="12">
        <v>11045.638203848896</v>
      </c>
      <c r="F45" s="12">
        <v>13754.945687811833</v>
      </c>
      <c r="G45" s="12">
        <v>15440.664647184605</v>
      </c>
      <c r="H45" s="14">
        <v>15229</v>
      </c>
      <c r="I45" s="12">
        <v>15244.367305751764</v>
      </c>
      <c r="J45" s="12">
        <v>16240.168718466195</v>
      </c>
    </row>
    <row r="46" spans="1:11" x14ac:dyDescent="0.2">
      <c r="A46" s="13" t="s">
        <v>17</v>
      </c>
      <c r="B46" s="12">
        <v>6212.1687967161724</v>
      </c>
      <c r="C46" s="12">
        <v>6274.4649138112009</v>
      </c>
      <c r="D46" s="12">
        <v>7160.5953681450737</v>
      </c>
      <c r="E46" s="12">
        <v>11421.02572645838</v>
      </c>
      <c r="F46" s="12">
        <v>16404.948765566965</v>
      </c>
      <c r="G46" s="12">
        <v>21253.836355691503</v>
      </c>
      <c r="H46" s="14">
        <v>22681</v>
      </c>
      <c r="I46" s="14">
        <v>25875</v>
      </c>
      <c r="J46" s="14">
        <v>28527</v>
      </c>
    </row>
    <row r="47" spans="1:11" x14ac:dyDescent="0.2">
      <c r="A47" s="11" t="s">
        <v>0</v>
      </c>
      <c r="B47" s="12">
        <v>6384.8631353325563</v>
      </c>
      <c r="C47" s="12">
        <v>7287.6701474462889</v>
      </c>
      <c r="D47" s="12">
        <v>9289</v>
      </c>
      <c r="E47" s="12">
        <v>13363</v>
      </c>
      <c r="F47" s="12">
        <v>29503</v>
      </c>
      <c r="G47" s="12">
        <v>39069</v>
      </c>
      <c r="H47" s="12">
        <v>44043</v>
      </c>
      <c r="I47" s="12">
        <v>45785</v>
      </c>
      <c r="J47" s="12">
        <v>49080</v>
      </c>
    </row>
    <row r="48" spans="1:11" x14ac:dyDescent="0.2">
      <c r="A48" s="11"/>
      <c r="B48" s="12"/>
      <c r="C48" s="12"/>
      <c r="D48" s="12"/>
      <c r="E48" s="12"/>
      <c r="F48" s="12"/>
      <c r="G48" s="12"/>
      <c r="H48" s="12"/>
      <c r="I48" s="12"/>
      <c r="J48" s="12"/>
    </row>
    <row r="49" spans="1:11" s="10" customFormat="1" x14ac:dyDescent="0.2">
      <c r="B49" s="10">
        <v>1926</v>
      </c>
      <c r="C49" s="10">
        <v>1936</v>
      </c>
      <c r="D49" s="10">
        <v>1946</v>
      </c>
      <c r="E49" s="10">
        <v>1956</v>
      </c>
      <c r="F49" s="10">
        <v>1966</v>
      </c>
      <c r="G49" s="10">
        <v>1976</v>
      </c>
      <c r="H49" s="10">
        <v>1986</v>
      </c>
      <c r="I49" s="10">
        <v>1996</v>
      </c>
      <c r="J49" s="10">
        <v>2006</v>
      </c>
      <c r="K49" s="21"/>
    </row>
    <row r="50" spans="1:11" x14ac:dyDescent="0.2">
      <c r="A50" s="13" t="s">
        <v>26</v>
      </c>
      <c r="B50" s="12">
        <v>7891.9882454664112</v>
      </c>
      <c r="C50" s="12">
        <v>8447.0787696650495</v>
      </c>
      <c r="D50" s="12">
        <v>8424.1074138476124</v>
      </c>
      <c r="E50" s="12">
        <v>11036.582911792602</v>
      </c>
      <c r="F50" s="12">
        <v>14848.319791337337</v>
      </c>
      <c r="G50" s="12">
        <v>15179.383496680366</v>
      </c>
      <c r="H50" s="14">
        <v>14247</v>
      </c>
      <c r="I50" s="12">
        <v>13464.811764705881</v>
      </c>
      <c r="J50" s="12">
        <v>12383.551557093424</v>
      </c>
    </row>
    <row r="51" spans="1:11" x14ac:dyDescent="0.2">
      <c r="A51" s="13" t="s">
        <v>13</v>
      </c>
      <c r="B51" s="12">
        <v>8188</v>
      </c>
      <c r="C51" s="12">
        <v>9164</v>
      </c>
      <c r="D51" s="12">
        <v>9535</v>
      </c>
      <c r="E51" s="12">
        <v>13000</v>
      </c>
      <c r="F51" s="12">
        <v>17596</v>
      </c>
      <c r="G51" s="12">
        <v>21001</v>
      </c>
      <c r="H51" s="14">
        <v>19353</v>
      </c>
      <c r="I51" s="14">
        <v>19686</v>
      </c>
      <c r="J51" s="14">
        <v>19497</v>
      </c>
    </row>
    <row r="52" spans="1:11" x14ac:dyDescent="0.2">
      <c r="A52" s="13" t="s">
        <v>29</v>
      </c>
      <c r="B52" s="12">
        <v>8349.8242611835321</v>
      </c>
      <c r="C52" s="12">
        <v>12054.585283669161</v>
      </c>
      <c r="D52" s="12">
        <v>12370.261673662118</v>
      </c>
      <c r="E52" s="12">
        <v>13216.609129066106</v>
      </c>
      <c r="F52" s="12">
        <v>12782.357555089191</v>
      </c>
      <c r="G52" s="12">
        <v>12232.896379853095</v>
      </c>
      <c r="H52" s="14">
        <v>11261</v>
      </c>
      <c r="I52" s="12">
        <v>10652.051654560129</v>
      </c>
      <c r="J52" s="12">
        <v>9994.6298089857428</v>
      </c>
    </row>
    <row r="53" spans="1:11" x14ac:dyDescent="0.2">
      <c r="A53" s="11" t="s">
        <v>16</v>
      </c>
      <c r="B53" s="12">
        <v>11829.07686707517</v>
      </c>
      <c r="C53" s="12">
        <v>13661.467451313476</v>
      </c>
      <c r="D53" s="12">
        <v>16577</v>
      </c>
      <c r="E53" s="12">
        <v>22503</v>
      </c>
      <c r="F53" s="12">
        <v>27615</v>
      </c>
      <c r="G53" s="12">
        <v>42433</v>
      </c>
      <c r="H53" s="12">
        <v>44593</v>
      </c>
      <c r="I53" s="12">
        <v>50691</v>
      </c>
      <c r="J53" s="12">
        <v>56367</v>
      </c>
    </row>
    <row r="54" spans="1:11" x14ac:dyDescent="0.2">
      <c r="A54" s="11" t="s">
        <v>9</v>
      </c>
      <c r="B54" s="12">
        <v>15571.388732404585</v>
      </c>
      <c r="C54" s="12">
        <v>19106.279069730754</v>
      </c>
      <c r="D54" s="12">
        <v>20999.780363874772</v>
      </c>
      <c r="E54" s="12">
        <v>28702.454351745615</v>
      </c>
      <c r="F54" s="12">
        <v>38700.333060154073</v>
      </c>
      <c r="G54" s="12">
        <v>52488.088510080313</v>
      </c>
      <c r="H54" s="18">
        <v>56717.999999999993</v>
      </c>
      <c r="I54" s="12">
        <v>58675</v>
      </c>
      <c r="J54" s="12">
        <v>62118</v>
      </c>
    </row>
    <row r="55" spans="1:11" x14ac:dyDescent="0.2">
      <c r="A55" s="11" t="s">
        <v>7</v>
      </c>
      <c r="B55" s="12">
        <v>15637.803736577494</v>
      </c>
      <c r="C55" s="12">
        <v>16745.753832785053</v>
      </c>
      <c r="D55" s="12">
        <v>16984</v>
      </c>
      <c r="E55" s="12">
        <v>22622</v>
      </c>
      <c r="F55" s="12">
        <v>27804</v>
      </c>
      <c r="G55" s="12">
        <v>31790</v>
      </c>
      <c r="H55" s="12">
        <v>32238</v>
      </c>
      <c r="I55" s="12">
        <v>32653</v>
      </c>
      <c r="J55" s="12">
        <v>32529</v>
      </c>
    </row>
    <row r="56" spans="1:11" x14ac:dyDescent="0.2">
      <c r="A56" s="11" t="s">
        <v>10</v>
      </c>
      <c r="B56" s="12">
        <v>16263.39393939394</v>
      </c>
      <c r="C56" s="12">
        <v>18898.108655890061</v>
      </c>
      <c r="D56" s="12">
        <v>20642</v>
      </c>
      <c r="E56" s="12">
        <v>28292</v>
      </c>
      <c r="F56" s="12">
        <v>35280</v>
      </c>
      <c r="G56" s="12">
        <v>43914</v>
      </c>
      <c r="H56" s="12">
        <v>47384</v>
      </c>
      <c r="I56" s="12">
        <v>49306</v>
      </c>
      <c r="J56" s="12">
        <v>49281</v>
      </c>
    </row>
    <row r="57" spans="1:11" x14ac:dyDescent="0.2">
      <c r="A57" s="11" t="s">
        <v>19</v>
      </c>
      <c r="B57" s="12">
        <v>16840.202974091673</v>
      </c>
      <c r="C57" s="12">
        <v>18839.958301395061</v>
      </c>
      <c r="D57" s="12">
        <v>19596</v>
      </c>
      <c r="E57" s="12">
        <v>24694</v>
      </c>
      <c r="F57" s="12">
        <v>27946</v>
      </c>
      <c r="G57" s="12">
        <v>29958</v>
      </c>
      <c r="H57" s="12">
        <v>28621</v>
      </c>
      <c r="I57" s="12">
        <v>27521</v>
      </c>
      <c r="J57" s="12">
        <v>26886</v>
      </c>
    </row>
    <row r="58" spans="1:11" x14ac:dyDescent="0.2">
      <c r="A58" s="11" t="s">
        <v>8</v>
      </c>
      <c r="B58" s="12">
        <v>18363.659805257052</v>
      </c>
      <c r="C58" s="12">
        <v>19137.815095101156</v>
      </c>
      <c r="D58" s="12">
        <v>20297</v>
      </c>
      <c r="E58" s="12">
        <v>27507</v>
      </c>
      <c r="F58" s="12">
        <v>38309</v>
      </c>
      <c r="G58" s="12">
        <v>50164</v>
      </c>
      <c r="H58" s="12">
        <v>52151</v>
      </c>
      <c r="I58" s="12">
        <v>55044</v>
      </c>
      <c r="J58" s="12">
        <v>56286</v>
      </c>
    </row>
    <row r="59" spans="1:11" x14ac:dyDescent="0.2">
      <c r="A59" s="11" t="s">
        <v>12</v>
      </c>
      <c r="B59" s="12">
        <v>19902.021926100922</v>
      </c>
      <c r="C59" s="12">
        <v>24247.340371341037</v>
      </c>
      <c r="D59" s="12">
        <v>27294</v>
      </c>
      <c r="E59" s="12">
        <v>37775</v>
      </c>
      <c r="F59" s="12">
        <v>49140</v>
      </c>
      <c r="G59" s="12">
        <v>63873</v>
      </c>
      <c r="H59" s="12">
        <v>67405</v>
      </c>
      <c r="I59" s="12">
        <v>73862</v>
      </c>
      <c r="J59" s="12">
        <v>76032</v>
      </c>
    </row>
    <row r="60" spans="1:11" x14ac:dyDescent="0.2">
      <c r="A60" s="11"/>
      <c r="B60" s="12"/>
      <c r="C60" s="12"/>
      <c r="D60" s="12"/>
      <c r="E60" s="12"/>
      <c r="F60" s="12"/>
      <c r="G60" s="12"/>
      <c r="H60" s="12"/>
      <c r="I60" s="12"/>
      <c r="J60" s="12"/>
    </row>
    <row r="61" spans="1:11" s="10" customFormat="1" x14ac:dyDescent="0.2">
      <c r="B61" s="10">
        <v>1926</v>
      </c>
      <c r="C61" s="10">
        <v>1936</v>
      </c>
      <c r="D61" s="10">
        <v>1946</v>
      </c>
      <c r="E61" s="10">
        <v>1956</v>
      </c>
      <c r="F61" s="10">
        <v>1966</v>
      </c>
      <c r="G61" s="10">
        <v>1976</v>
      </c>
      <c r="H61" s="10">
        <v>1986</v>
      </c>
      <c r="I61" s="10">
        <v>1996</v>
      </c>
      <c r="J61" s="10">
        <v>2006</v>
      </c>
      <c r="K61" s="21"/>
    </row>
    <row r="62" spans="1:11" x14ac:dyDescent="0.2">
      <c r="A62" s="11" t="s">
        <v>21</v>
      </c>
      <c r="B62" s="12">
        <v>21956.726842411888</v>
      </c>
      <c r="C62" s="12">
        <v>25883.668657151182</v>
      </c>
      <c r="D62" s="12">
        <v>27583</v>
      </c>
      <c r="E62" s="12">
        <v>35107</v>
      </c>
      <c r="F62" s="12">
        <v>46016</v>
      </c>
      <c r="G62" s="12">
        <v>53762</v>
      </c>
      <c r="H62" s="14">
        <v>52807</v>
      </c>
      <c r="I62" s="12">
        <v>49306</v>
      </c>
      <c r="J62" s="12">
        <v>46773</v>
      </c>
      <c r="K62" s="21" t="s">
        <v>101</v>
      </c>
    </row>
    <row r="63" spans="1:11" x14ac:dyDescent="0.2">
      <c r="A63" s="11" t="s">
        <v>3</v>
      </c>
      <c r="B63" s="12">
        <v>23173.816978838771</v>
      </c>
      <c r="C63" s="12">
        <v>28219.880371695446</v>
      </c>
      <c r="D63" s="12">
        <v>36937.739577693559</v>
      </c>
      <c r="E63" s="12">
        <v>56204.030319436926</v>
      </c>
      <c r="F63" s="12">
        <v>87749.795343800753</v>
      </c>
      <c r="G63" s="12">
        <v>127306.72495939361</v>
      </c>
      <c r="H63" s="17">
        <v>138645</v>
      </c>
      <c r="I63" s="12">
        <v>159234</v>
      </c>
      <c r="J63" s="12">
        <v>184908</v>
      </c>
    </row>
    <row r="64" spans="1:11" x14ac:dyDescent="0.2">
      <c r="A64" s="11" t="s">
        <v>11</v>
      </c>
      <c r="B64" s="12">
        <v>26834.791011759229</v>
      </c>
      <c r="C64" s="12">
        <v>26490.755229557188</v>
      </c>
      <c r="D64" s="12">
        <v>26462</v>
      </c>
      <c r="E64" s="12">
        <v>32100</v>
      </c>
      <c r="F64" s="12">
        <v>38174</v>
      </c>
      <c r="G64" s="12">
        <v>39679</v>
      </c>
      <c r="H64" s="12">
        <v>40758</v>
      </c>
      <c r="I64" s="12">
        <v>41320</v>
      </c>
      <c r="J64" s="12">
        <v>38988</v>
      </c>
    </row>
    <row r="65" spans="1:11" x14ac:dyDescent="0.2">
      <c r="A65" s="11" t="s">
        <v>20</v>
      </c>
      <c r="B65" s="12">
        <v>85266.677320864037</v>
      </c>
      <c r="C65" s="12">
        <v>82118.634359486008</v>
      </c>
      <c r="D65" s="12">
        <v>83351</v>
      </c>
      <c r="E65" s="12">
        <v>99370</v>
      </c>
      <c r="F65" s="12">
        <v>108734</v>
      </c>
      <c r="G65" s="12">
        <v>113222</v>
      </c>
      <c r="H65" s="12">
        <v>108864</v>
      </c>
      <c r="I65" s="12">
        <v>112279</v>
      </c>
      <c r="J65" s="12">
        <v>110997</v>
      </c>
    </row>
    <row r="66" spans="1:11" x14ac:dyDescent="0.2">
      <c r="A66" s="11" t="s">
        <v>18</v>
      </c>
      <c r="B66" s="12">
        <v>118785.61995052484</v>
      </c>
      <c r="C66" s="12">
        <v>132981.74950190546</v>
      </c>
      <c r="D66" s="12">
        <v>150047</v>
      </c>
      <c r="E66" s="12">
        <v>193367</v>
      </c>
      <c r="F66" s="12">
        <v>247248</v>
      </c>
      <c r="G66" s="12">
        <v>295296</v>
      </c>
      <c r="H66" s="12">
        <v>299373</v>
      </c>
      <c r="I66" s="12">
        <v>331443</v>
      </c>
      <c r="J66" s="12">
        <v>360768</v>
      </c>
    </row>
    <row r="67" spans="1:11" x14ac:dyDescent="0.2">
      <c r="A67" s="11" t="s">
        <v>15</v>
      </c>
      <c r="B67" s="12">
        <v>122168.87465181058</v>
      </c>
      <c r="C67" s="12">
        <v>151015.3662952646</v>
      </c>
      <c r="D67" s="12">
        <v>173520</v>
      </c>
      <c r="E67" s="12">
        <v>224350</v>
      </c>
      <c r="F67" s="12">
        <v>282487</v>
      </c>
      <c r="G67" s="12">
        <v>327414</v>
      </c>
      <c r="H67" s="12">
        <v>325697</v>
      </c>
      <c r="I67" s="12">
        <v>335468</v>
      </c>
      <c r="J67" s="12">
        <v>360624</v>
      </c>
    </row>
    <row r="68" spans="1:11" x14ac:dyDescent="0.2">
      <c r="A68" s="11" t="s">
        <v>1</v>
      </c>
      <c r="B68" s="12">
        <v>196636.66587997694</v>
      </c>
      <c r="C68" s="12">
        <v>216183.55855873282</v>
      </c>
      <c r="D68" s="12">
        <v>263370</v>
      </c>
      <c r="E68" s="12">
        <v>381063</v>
      </c>
      <c r="F68" s="12">
        <v>548293</v>
      </c>
      <c r="G68" s="12">
        <v>742786</v>
      </c>
      <c r="H68" s="12">
        <v>820754</v>
      </c>
      <c r="I68" s="12">
        <v>997940</v>
      </c>
      <c r="J68" s="12">
        <v>1208094</v>
      </c>
    </row>
    <row r="79" spans="1:11" x14ac:dyDescent="0.2">
      <c r="K79" s="21" t="s">
        <v>102</v>
      </c>
    </row>
    <row r="94" spans="11:11" x14ac:dyDescent="0.2">
      <c r="K94" s="21" t="s">
        <v>103</v>
      </c>
    </row>
  </sheetData>
  <sortState ref="A2:J61">
    <sortCondition ref="B2:B61"/>
  </sortState>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V63"/>
  <sheetViews>
    <sheetView workbookViewId="0">
      <selection activeCell="EV7" sqref="EV7"/>
    </sheetView>
  </sheetViews>
  <sheetFormatPr defaultRowHeight="11.25" x14ac:dyDescent="0.2"/>
  <cols>
    <col min="1" max="2" width="9.140625" style="11"/>
    <col min="3" max="3" width="13.42578125" style="10" customWidth="1"/>
    <col min="4" max="12" width="8.7109375" style="11" customWidth="1"/>
    <col min="13" max="13" width="8.7109375" style="12" customWidth="1"/>
    <col min="14" max="14" width="8.7109375" style="27" customWidth="1"/>
    <col min="15" max="40" width="9.140625" style="11" customWidth="1"/>
    <col min="41" max="49" width="8.7109375" style="11" customWidth="1"/>
    <col min="50" max="92" width="9.140625" style="11" customWidth="1"/>
    <col min="93" max="96" width="9.140625" style="29" customWidth="1"/>
    <col min="97" max="98" width="9.140625" style="11" customWidth="1"/>
    <col min="99" max="101" width="8.28515625" style="11" customWidth="1"/>
    <col min="102" max="121" width="9.140625" style="11" customWidth="1"/>
    <col min="122" max="130" width="8.7109375" style="11" customWidth="1"/>
    <col min="131" max="139" width="9.140625" style="11" customWidth="1"/>
    <col min="140" max="16384" width="9.140625" style="11"/>
  </cols>
  <sheetData>
    <row r="1" spans="1:152" s="22" customFormat="1" ht="45" customHeight="1" x14ac:dyDescent="0.25">
      <c r="C1" s="22" t="s">
        <v>87</v>
      </c>
      <c r="D1" s="22" t="s">
        <v>109</v>
      </c>
      <c r="E1" s="22" t="s">
        <v>110</v>
      </c>
      <c r="F1" s="22" t="s">
        <v>111</v>
      </c>
      <c r="G1" s="22" t="s">
        <v>112</v>
      </c>
      <c r="H1" s="22" t="s">
        <v>113</v>
      </c>
      <c r="I1" s="22" t="s">
        <v>114</v>
      </c>
      <c r="J1" s="22" t="s">
        <v>115</v>
      </c>
      <c r="K1" s="22" t="s">
        <v>116</v>
      </c>
      <c r="L1" s="22" t="s">
        <v>117</v>
      </c>
      <c r="M1" s="23" t="s">
        <v>118</v>
      </c>
      <c r="N1" s="24" t="s">
        <v>119</v>
      </c>
      <c r="O1" s="22" t="s">
        <v>120</v>
      </c>
      <c r="P1" s="22" t="s">
        <v>121</v>
      </c>
      <c r="Q1" s="22" t="s">
        <v>122</v>
      </c>
      <c r="R1" s="22" t="s">
        <v>123</v>
      </c>
      <c r="S1" s="22" t="s">
        <v>124</v>
      </c>
      <c r="T1" s="22" t="s">
        <v>125</v>
      </c>
      <c r="U1" s="22" t="s">
        <v>126</v>
      </c>
      <c r="V1" s="22" t="s">
        <v>127</v>
      </c>
      <c r="W1" s="22" t="s">
        <v>128</v>
      </c>
      <c r="X1" s="22" t="s">
        <v>129</v>
      </c>
      <c r="Y1" s="22" t="s">
        <v>130</v>
      </c>
      <c r="Z1" s="22" t="s">
        <v>131</v>
      </c>
      <c r="AA1" s="22" t="s">
        <v>132</v>
      </c>
      <c r="AB1" s="22" t="s">
        <v>133</v>
      </c>
      <c r="AC1" s="22" t="s">
        <v>134</v>
      </c>
      <c r="AD1" s="22" t="s">
        <v>135</v>
      </c>
      <c r="AE1" s="22" t="s">
        <v>136</v>
      </c>
      <c r="AF1" s="22" t="s">
        <v>137</v>
      </c>
      <c r="AG1" s="22" t="s">
        <v>138</v>
      </c>
      <c r="AH1" s="22" t="s">
        <v>139</v>
      </c>
      <c r="AI1" s="22" t="s">
        <v>140</v>
      </c>
      <c r="AJ1" s="22" t="s">
        <v>141</v>
      </c>
      <c r="AK1" s="22" t="s">
        <v>142</v>
      </c>
      <c r="AL1" s="22" t="s">
        <v>143</v>
      </c>
      <c r="AM1" s="22" t="s">
        <v>144</v>
      </c>
      <c r="AN1" s="22" t="s">
        <v>145</v>
      </c>
      <c r="AO1" s="22" t="s">
        <v>146</v>
      </c>
      <c r="AP1" s="22" t="s">
        <v>147</v>
      </c>
      <c r="AQ1" s="22" t="s">
        <v>148</v>
      </c>
      <c r="AR1" s="22" t="s">
        <v>149</v>
      </c>
      <c r="AS1" s="22" t="s">
        <v>150</v>
      </c>
      <c r="AT1" s="22" t="s">
        <v>151</v>
      </c>
      <c r="AU1" s="22" t="s">
        <v>152</v>
      </c>
      <c r="AV1" s="22" t="s">
        <v>153</v>
      </c>
      <c r="AW1" s="22" t="s">
        <v>154</v>
      </c>
      <c r="AX1" s="22" t="s">
        <v>155</v>
      </c>
      <c r="AY1" s="22" t="s">
        <v>156</v>
      </c>
      <c r="AZ1" s="22" t="s">
        <v>157</v>
      </c>
      <c r="BA1" s="22" t="s">
        <v>158</v>
      </c>
      <c r="BB1" s="22" t="s">
        <v>159</v>
      </c>
      <c r="BC1" s="22" t="s">
        <v>160</v>
      </c>
      <c r="BD1" s="22" t="s">
        <v>161</v>
      </c>
      <c r="BE1" s="22" t="s">
        <v>162</v>
      </c>
      <c r="BF1" s="22" t="s">
        <v>163</v>
      </c>
      <c r="BG1" s="22" t="s">
        <v>164</v>
      </c>
      <c r="BH1" s="22" t="s">
        <v>165</v>
      </c>
      <c r="BI1" s="22" t="s">
        <v>166</v>
      </c>
      <c r="BJ1" s="22" t="s">
        <v>167</v>
      </c>
      <c r="BK1" s="22" t="s">
        <v>168</v>
      </c>
      <c r="BL1" s="22" t="s">
        <v>169</v>
      </c>
      <c r="BM1" s="22" t="s">
        <v>170</v>
      </c>
      <c r="BN1" s="22" t="s">
        <v>171</v>
      </c>
      <c r="BO1" s="22" t="s">
        <v>172</v>
      </c>
      <c r="BP1" s="22" t="s">
        <v>173</v>
      </c>
      <c r="BQ1" s="22" t="s">
        <v>174</v>
      </c>
      <c r="BR1" s="22" t="s">
        <v>175</v>
      </c>
      <c r="BS1" s="22" t="s">
        <v>176</v>
      </c>
      <c r="BT1" s="22" t="s">
        <v>177</v>
      </c>
      <c r="BU1" s="22" t="s">
        <v>178</v>
      </c>
      <c r="BV1" s="22" t="s">
        <v>179</v>
      </c>
      <c r="BW1" s="22" t="s">
        <v>180</v>
      </c>
      <c r="BX1" s="22" t="s">
        <v>181</v>
      </c>
      <c r="BY1" s="22" t="s">
        <v>182</v>
      </c>
      <c r="BZ1" s="22" t="s">
        <v>183</v>
      </c>
      <c r="CA1" s="22" t="s">
        <v>184</v>
      </c>
      <c r="CB1" s="22" t="s">
        <v>185</v>
      </c>
      <c r="CC1" s="22" t="s">
        <v>186</v>
      </c>
      <c r="CD1" s="22" t="s">
        <v>187</v>
      </c>
      <c r="CE1" s="22" t="s">
        <v>188</v>
      </c>
      <c r="CF1" s="22" t="s">
        <v>189</v>
      </c>
      <c r="CG1" s="22" t="s">
        <v>190</v>
      </c>
      <c r="CH1" s="22" t="s">
        <v>191</v>
      </c>
      <c r="CI1" s="22" t="s">
        <v>192</v>
      </c>
      <c r="CJ1" s="22" t="s">
        <v>193</v>
      </c>
      <c r="CK1" s="22" t="s">
        <v>194</v>
      </c>
      <c r="CL1" s="22" t="s">
        <v>195</v>
      </c>
      <c r="CM1" s="22" t="s">
        <v>196</v>
      </c>
      <c r="CN1" s="22" t="s">
        <v>197</v>
      </c>
      <c r="CO1" s="25" t="s">
        <v>198</v>
      </c>
      <c r="CP1" s="25" t="s">
        <v>199</v>
      </c>
      <c r="CQ1" s="25" t="s">
        <v>200</v>
      </c>
      <c r="CR1" s="25" t="s">
        <v>201</v>
      </c>
      <c r="CS1" s="22" t="s">
        <v>202</v>
      </c>
      <c r="CT1" s="22" t="s">
        <v>203</v>
      </c>
      <c r="CU1" s="22" t="s">
        <v>204</v>
      </c>
      <c r="CV1" s="22" t="s">
        <v>205</v>
      </c>
      <c r="CW1" s="22" t="s">
        <v>206</v>
      </c>
      <c r="CX1" s="22" t="s">
        <v>207</v>
      </c>
      <c r="CY1" s="22" t="s">
        <v>208</v>
      </c>
      <c r="CZ1" s="22" t="s">
        <v>209</v>
      </c>
      <c r="DA1" s="22" t="s">
        <v>210</v>
      </c>
      <c r="DB1" s="22" t="s">
        <v>211</v>
      </c>
      <c r="DC1" s="22" t="s">
        <v>212</v>
      </c>
      <c r="DD1" s="22" t="s">
        <v>213</v>
      </c>
      <c r="DE1" s="22" t="s">
        <v>214</v>
      </c>
      <c r="DF1" s="22" t="s">
        <v>215</v>
      </c>
      <c r="DG1" s="22" t="s">
        <v>216</v>
      </c>
      <c r="DH1" s="22" t="s">
        <v>217</v>
      </c>
      <c r="DI1" s="22" t="s">
        <v>218</v>
      </c>
      <c r="DJ1" s="22" t="s">
        <v>219</v>
      </c>
      <c r="DK1" s="22" t="s">
        <v>220</v>
      </c>
      <c r="DL1" s="22" t="s">
        <v>221</v>
      </c>
      <c r="DM1" s="22" t="s">
        <v>222</v>
      </c>
      <c r="DN1" s="22" t="s">
        <v>223</v>
      </c>
      <c r="DO1" s="22" t="s">
        <v>224</v>
      </c>
      <c r="DP1" s="22" t="s">
        <v>225</v>
      </c>
      <c r="DQ1" s="22" t="s">
        <v>226</v>
      </c>
      <c r="DR1" s="22" t="s">
        <v>227</v>
      </c>
      <c r="DS1" s="22" t="s">
        <v>228</v>
      </c>
      <c r="DT1" s="22" t="s">
        <v>229</v>
      </c>
      <c r="DU1" s="22" t="s">
        <v>230</v>
      </c>
      <c r="DV1" s="22" t="s">
        <v>231</v>
      </c>
      <c r="DW1" s="22" t="s">
        <v>232</v>
      </c>
      <c r="DX1" s="22" t="s">
        <v>233</v>
      </c>
      <c r="DY1" s="22" t="s">
        <v>234</v>
      </c>
      <c r="DZ1" s="22" t="s">
        <v>235</v>
      </c>
      <c r="EA1" s="26" t="s">
        <v>236</v>
      </c>
      <c r="EB1" s="26" t="s">
        <v>237</v>
      </c>
      <c r="EC1" s="26" t="s">
        <v>238</v>
      </c>
      <c r="ED1" s="26" t="s">
        <v>239</v>
      </c>
      <c r="EE1" s="26" t="s">
        <v>240</v>
      </c>
      <c r="EF1" s="26" t="s">
        <v>241</v>
      </c>
      <c r="EG1" s="26" t="s">
        <v>242</v>
      </c>
      <c r="EH1" s="26" t="s">
        <v>243</v>
      </c>
      <c r="EI1" s="26" t="s">
        <v>244</v>
      </c>
      <c r="EJ1" s="22" t="s">
        <v>509</v>
      </c>
      <c r="EK1" s="22" t="s">
        <v>507</v>
      </c>
      <c r="EL1" s="22" t="s">
        <v>508</v>
      </c>
      <c r="EM1" s="22" t="s">
        <v>510</v>
      </c>
      <c r="EN1" s="22" t="s">
        <v>245</v>
      </c>
      <c r="EO1" s="22" t="s">
        <v>246</v>
      </c>
      <c r="EP1" s="22" t="s">
        <v>511</v>
      </c>
      <c r="EQ1" s="22" t="s">
        <v>247</v>
      </c>
      <c r="ER1" s="22" t="s">
        <v>248</v>
      </c>
      <c r="ES1" s="22" t="s">
        <v>249</v>
      </c>
      <c r="ET1" s="22" t="s">
        <v>250</v>
      </c>
      <c r="EU1" s="22" t="s">
        <v>251</v>
      </c>
      <c r="EV1" s="22" t="s">
        <v>252</v>
      </c>
    </row>
    <row r="2" spans="1:152" s="22" customFormat="1" ht="45" customHeight="1" x14ac:dyDescent="0.25">
      <c r="A2" s="22" t="s">
        <v>253</v>
      </c>
      <c r="B2" s="22" t="s">
        <v>254</v>
      </c>
      <c r="C2" s="22" t="s">
        <v>255</v>
      </c>
      <c r="D2" s="22" t="s">
        <v>256</v>
      </c>
      <c r="E2" s="22" t="s">
        <v>257</v>
      </c>
      <c r="F2" s="22" t="s">
        <v>258</v>
      </c>
      <c r="G2" s="22" t="s">
        <v>259</v>
      </c>
      <c r="H2" s="22" t="s">
        <v>260</v>
      </c>
      <c r="I2" s="22" t="s">
        <v>261</v>
      </c>
      <c r="J2" s="22" t="s">
        <v>262</v>
      </c>
      <c r="K2" s="22" t="s">
        <v>263</v>
      </c>
      <c r="L2" s="22" t="s">
        <v>264</v>
      </c>
      <c r="M2" s="23" t="s">
        <v>265</v>
      </c>
      <c r="N2" s="24" t="s">
        <v>266</v>
      </c>
      <c r="O2" s="22" t="s">
        <v>267</v>
      </c>
      <c r="P2" s="22" t="s">
        <v>268</v>
      </c>
      <c r="Q2" s="22" t="s">
        <v>269</v>
      </c>
      <c r="R2" s="22" t="s">
        <v>270</v>
      </c>
      <c r="S2" s="22" t="s">
        <v>271</v>
      </c>
      <c r="T2" s="22" t="s">
        <v>272</v>
      </c>
      <c r="U2" s="22" t="s">
        <v>273</v>
      </c>
      <c r="V2" s="22" t="s">
        <v>274</v>
      </c>
      <c r="W2" s="22" t="s">
        <v>275</v>
      </c>
      <c r="X2" s="22" t="s">
        <v>276</v>
      </c>
      <c r="Y2" s="22" t="s">
        <v>277</v>
      </c>
      <c r="Z2" s="22" t="s">
        <v>278</v>
      </c>
      <c r="AA2" s="22" t="s">
        <v>279</v>
      </c>
      <c r="AB2" s="22" t="s">
        <v>280</v>
      </c>
      <c r="AC2" s="22" t="s">
        <v>281</v>
      </c>
      <c r="AD2" s="22" t="s">
        <v>282</v>
      </c>
      <c r="AE2" s="22" t="s">
        <v>283</v>
      </c>
      <c r="AF2" s="22" t="s">
        <v>284</v>
      </c>
      <c r="AG2" s="22" t="s">
        <v>285</v>
      </c>
      <c r="AH2" s="22" t="s">
        <v>286</v>
      </c>
      <c r="AI2" s="22" t="s">
        <v>287</v>
      </c>
      <c r="AJ2" s="22" t="s">
        <v>288</v>
      </c>
      <c r="AK2" s="22" t="s">
        <v>289</v>
      </c>
      <c r="AL2" s="22" t="s">
        <v>290</v>
      </c>
      <c r="AM2" s="22" t="s">
        <v>291</v>
      </c>
      <c r="AN2" s="22" t="s">
        <v>292</v>
      </c>
      <c r="AO2" s="22" t="s">
        <v>293</v>
      </c>
      <c r="AP2" s="22" t="s">
        <v>294</v>
      </c>
      <c r="AQ2" s="22" t="s">
        <v>295</v>
      </c>
      <c r="AR2" s="22" t="s">
        <v>296</v>
      </c>
      <c r="AS2" s="22" t="s">
        <v>297</v>
      </c>
      <c r="AT2" s="22" t="s">
        <v>298</v>
      </c>
      <c r="AU2" s="22" t="s">
        <v>299</v>
      </c>
      <c r="AV2" s="22" t="s">
        <v>300</v>
      </c>
      <c r="AW2" s="22" t="s">
        <v>301</v>
      </c>
      <c r="AX2" s="22" t="s">
        <v>302</v>
      </c>
      <c r="AY2" s="22" t="s">
        <v>303</v>
      </c>
      <c r="AZ2" s="22" t="s">
        <v>304</v>
      </c>
      <c r="BA2" s="22" t="s">
        <v>305</v>
      </c>
      <c r="BB2" s="22" t="s">
        <v>306</v>
      </c>
      <c r="BC2" s="22" t="s">
        <v>307</v>
      </c>
      <c r="BD2" s="22" t="s">
        <v>308</v>
      </c>
      <c r="BE2" s="22" t="s">
        <v>309</v>
      </c>
      <c r="BF2" s="22" t="s">
        <v>310</v>
      </c>
      <c r="BG2" s="22" t="s">
        <v>311</v>
      </c>
      <c r="BH2" s="22" t="s">
        <v>312</v>
      </c>
      <c r="BI2" s="22" t="s">
        <v>313</v>
      </c>
      <c r="BJ2" s="22" t="s">
        <v>314</v>
      </c>
      <c r="BK2" s="22" t="s">
        <v>315</v>
      </c>
      <c r="BL2" s="22" t="s">
        <v>316</v>
      </c>
      <c r="BM2" s="22" t="s">
        <v>317</v>
      </c>
      <c r="BN2" s="22" t="s">
        <v>318</v>
      </c>
      <c r="BO2" s="22" t="s">
        <v>319</v>
      </c>
      <c r="BP2" s="22" t="s">
        <v>320</v>
      </c>
      <c r="BQ2" s="22" t="s">
        <v>321</v>
      </c>
      <c r="BR2" s="22" t="s">
        <v>322</v>
      </c>
      <c r="BS2" s="22" t="s">
        <v>323</v>
      </c>
      <c r="BT2" s="22" t="s">
        <v>324</v>
      </c>
      <c r="BU2" s="22" t="s">
        <v>325</v>
      </c>
      <c r="BV2" s="22" t="s">
        <v>326</v>
      </c>
      <c r="BW2" s="22" t="s">
        <v>327</v>
      </c>
      <c r="BX2" s="22" t="s">
        <v>328</v>
      </c>
      <c r="BY2" s="22" t="s">
        <v>329</v>
      </c>
      <c r="BZ2" s="22" t="s">
        <v>330</v>
      </c>
      <c r="CA2" s="22" t="s">
        <v>331</v>
      </c>
      <c r="CB2" s="22" t="s">
        <v>332</v>
      </c>
      <c r="CC2" s="22" t="s">
        <v>333</v>
      </c>
      <c r="CD2" s="22" t="s">
        <v>334</v>
      </c>
      <c r="CE2" s="22" t="s">
        <v>335</v>
      </c>
      <c r="CF2" s="22" t="s">
        <v>336</v>
      </c>
      <c r="CG2" s="22" t="s">
        <v>337</v>
      </c>
      <c r="CH2" s="22" t="s">
        <v>338</v>
      </c>
      <c r="CI2" s="22" t="s">
        <v>339</v>
      </c>
      <c r="CJ2" s="22" t="s">
        <v>340</v>
      </c>
      <c r="CK2" s="22" t="s">
        <v>341</v>
      </c>
      <c r="CL2" s="22" t="s">
        <v>342</v>
      </c>
      <c r="CM2" s="22" t="s">
        <v>343</v>
      </c>
      <c r="CN2" s="22" t="s">
        <v>344</v>
      </c>
      <c r="CO2" s="22" t="s">
        <v>345</v>
      </c>
      <c r="CP2" s="22" t="s">
        <v>346</v>
      </c>
      <c r="CQ2" s="22" t="s">
        <v>347</v>
      </c>
      <c r="CR2" s="22" t="s">
        <v>348</v>
      </c>
      <c r="CS2" s="22" t="s">
        <v>349</v>
      </c>
      <c r="CT2" s="22" t="s">
        <v>350</v>
      </c>
      <c r="CU2" s="22" t="s">
        <v>351</v>
      </c>
      <c r="CV2" s="22" t="s">
        <v>352</v>
      </c>
      <c r="CW2" s="22" t="s">
        <v>353</v>
      </c>
      <c r="CX2" s="22" t="s">
        <v>354</v>
      </c>
      <c r="CY2" s="22" t="s">
        <v>355</v>
      </c>
      <c r="CZ2" s="22" t="s">
        <v>356</v>
      </c>
      <c r="DA2" s="22" t="s">
        <v>357</v>
      </c>
      <c r="DB2" s="22" t="s">
        <v>358</v>
      </c>
      <c r="DC2" s="22" t="s">
        <v>359</v>
      </c>
      <c r="DD2" s="22" t="s">
        <v>360</v>
      </c>
      <c r="DE2" s="22" t="s">
        <v>361</v>
      </c>
      <c r="DF2" s="22" t="s">
        <v>362</v>
      </c>
      <c r="DG2" s="22" t="s">
        <v>363</v>
      </c>
      <c r="DH2" s="22" t="s">
        <v>364</v>
      </c>
      <c r="DI2" s="22" t="s">
        <v>365</v>
      </c>
      <c r="DJ2" s="22" t="s">
        <v>366</v>
      </c>
      <c r="DK2" s="22" t="s">
        <v>367</v>
      </c>
      <c r="DL2" s="22" t="s">
        <v>368</v>
      </c>
      <c r="DM2" s="22" t="s">
        <v>369</v>
      </c>
      <c r="DN2" s="22" t="s">
        <v>370</v>
      </c>
      <c r="DO2" s="22" t="s">
        <v>371</v>
      </c>
      <c r="DP2" s="22" t="s">
        <v>372</v>
      </c>
      <c r="DQ2" s="22" t="s">
        <v>373</v>
      </c>
      <c r="DR2" s="22" t="s">
        <v>374</v>
      </c>
      <c r="DS2" s="22" t="s">
        <v>375</v>
      </c>
      <c r="DT2" s="22" t="s">
        <v>376</v>
      </c>
      <c r="DU2" s="22" t="s">
        <v>377</v>
      </c>
      <c r="DV2" s="22" t="s">
        <v>378</v>
      </c>
      <c r="DW2" s="22" t="s">
        <v>379</v>
      </c>
      <c r="DX2" s="22" t="s">
        <v>380</v>
      </c>
      <c r="DY2" s="22" t="s">
        <v>381</v>
      </c>
      <c r="DZ2" s="22" t="s">
        <v>382</v>
      </c>
      <c r="EA2" s="22" t="s">
        <v>383</v>
      </c>
      <c r="EB2" s="22" t="s">
        <v>384</v>
      </c>
      <c r="EC2" s="22" t="s">
        <v>385</v>
      </c>
      <c r="ED2" s="22" t="s">
        <v>386</v>
      </c>
      <c r="EE2" s="22" t="s">
        <v>387</v>
      </c>
      <c r="EF2" s="22" t="s">
        <v>388</v>
      </c>
      <c r="EG2" s="22" t="s">
        <v>389</v>
      </c>
      <c r="EH2" s="22" t="s">
        <v>390</v>
      </c>
      <c r="EI2" s="22" t="s">
        <v>391</v>
      </c>
      <c r="EJ2" s="22" t="s">
        <v>506</v>
      </c>
      <c r="EK2" s="22" t="s">
        <v>500</v>
      </c>
      <c r="EL2" s="22" t="s">
        <v>501</v>
      </c>
      <c r="EM2" s="22" t="s">
        <v>502</v>
      </c>
      <c r="EN2" s="22" t="s">
        <v>503</v>
      </c>
      <c r="EO2" s="22" t="s">
        <v>504</v>
      </c>
      <c r="EP2" s="22" t="s">
        <v>505</v>
      </c>
      <c r="EQ2" s="22" t="s">
        <v>392</v>
      </c>
      <c r="ER2" s="22" t="s">
        <v>393</v>
      </c>
      <c r="ES2" s="22" t="s">
        <v>394</v>
      </c>
      <c r="ET2" s="22" t="s">
        <v>395</v>
      </c>
      <c r="EU2" s="22" t="s">
        <v>396</v>
      </c>
      <c r="EV2" s="22" t="s">
        <v>397</v>
      </c>
    </row>
    <row r="3" spans="1:152" x14ac:dyDescent="0.2">
      <c r="A3" s="11">
        <v>26</v>
      </c>
      <c r="B3" s="11">
        <v>1</v>
      </c>
      <c r="C3" s="13" t="s">
        <v>25</v>
      </c>
      <c r="D3" s="12">
        <v>2322</v>
      </c>
      <c r="E3" s="12">
        <v>5522.8304174635523</v>
      </c>
      <c r="F3" s="12">
        <v>6177.1787566316416</v>
      </c>
      <c r="G3" s="12">
        <v>8195.2209550962216</v>
      </c>
      <c r="H3" s="12">
        <v>11045.638203848896</v>
      </c>
      <c r="I3" s="12">
        <v>13754.945687811833</v>
      </c>
      <c r="J3" s="12">
        <v>15440.664647184605</v>
      </c>
      <c r="K3" s="14">
        <v>15229</v>
      </c>
      <c r="L3" s="12">
        <v>15244.367305751764</v>
      </c>
      <c r="M3" s="12">
        <v>16240.168718466195</v>
      </c>
      <c r="N3" s="27">
        <v>1E-3</v>
      </c>
      <c r="O3" s="11">
        <f t="shared" ref="O3:O62" si="0">IF(D3=0,1,0)</f>
        <v>0</v>
      </c>
      <c r="P3" s="11">
        <v>0</v>
      </c>
      <c r="Q3" s="11">
        <v>0</v>
      </c>
      <c r="R3" s="11">
        <v>0</v>
      </c>
      <c r="S3" s="11">
        <v>1</v>
      </c>
      <c r="T3" s="11">
        <v>0</v>
      </c>
      <c r="U3" s="11">
        <v>0</v>
      </c>
      <c r="V3" s="11">
        <v>1</v>
      </c>
      <c r="W3" s="11">
        <v>0</v>
      </c>
      <c r="X3" s="11">
        <v>53</v>
      </c>
      <c r="Y3" s="11">
        <v>283</v>
      </c>
      <c r="Z3" s="11">
        <v>91</v>
      </c>
      <c r="AA3" s="11">
        <v>0</v>
      </c>
      <c r="AB3" s="11">
        <v>0</v>
      </c>
      <c r="AC3" s="28">
        <f>4+35/60</f>
        <v>4.583333333333333</v>
      </c>
      <c r="AD3" s="28">
        <f>1+20/60</f>
        <v>1.3333333333333333</v>
      </c>
      <c r="AE3" s="28"/>
      <c r="AF3" s="28"/>
      <c r="AG3" s="11">
        <v>182</v>
      </c>
      <c r="AH3" s="11">
        <v>54</v>
      </c>
      <c r="AK3" s="11">
        <v>177</v>
      </c>
      <c r="AL3" s="11">
        <v>54</v>
      </c>
      <c r="AO3" s="12">
        <f>0</f>
        <v>0</v>
      </c>
      <c r="AP3" s="12">
        <f>0</f>
        <v>0</v>
      </c>
      <c r="AQ3" s="12">
        <f>0</f>
        <v>0</v>
      </c>
      <c r="AR3" s="12">
        <f>0</f>
        <v>0</v>
      </c>
      <c r="AS3" s="12">
        <v>0</v>
      </c>
      <c r="AT3" s="12">
        <v>0</v>
      </c>
      <c r="AU3" s="14">
        <v>0</v>
      </c>
      <c r="AV3" s="12">
        <v>0</v>
      </c>
      <c r="AW3" s="12">
        <v>0</v>
      </c>
      <c r="AX3" s="12">
        <v>0</v>
      </c>
      <c r="AY3" s="12">
        <v>0</v>
      </c>
      <c r="AZ3" s="12">
        <v>0</v>
      </c>
      <c r="BA3" s="12">
        <v>0</v>
      </c>
      <c r="BB3" s="12">
        <v>0</v>
      </c>
      <c r="BC3" s="12">
        <v>0</v>
      </c>
      <c r="BD3" s="12">
        <v>0</v>
      </c>
      <c r="BE3" s="12">
        <v>0</v>
      </c>
      <c r="BF3" s="12">
        <v>0</v>
      </c>
      <c r="BG3" s="12">
        <v>1</v>
      </c>
      <c r="BH3" s="12">
        <v>0</v>
      </c>
      <c r="BI3" s="12">
        <v>1</v>
      </c>
      <c r="BJ3" s="12">
        <v>0</v>
      </c>
      <c r="BK3" s="12">
        <v>0</v>
      </c>
      <c r="BL3" s="12">
        <v>1879.309</v>
      </c>
      <c r="BM3" s="12">
        <v>733.67750000000001</v>
      </c>
      <c r="BN3" s="12">
        <v>21.254549999999998</v>
      </c>
      <c r="BO3" s="12">
        <v>11.262499999999999</v>
      </c>
      <c r="BP3" s="12">
        <v>307</v>
      </c>
      <c r="BQ3" s="12">
        <v>780</v>
      </c>
      <c r="BR3" s="12">
        <v>1</v>
      </c>
      <c r="BS3" s="12">
        <v>1</v>
      </c>
      <c r="BT3" s="12">
        <v>0</v>
      </c>
      <c r="BU3" s="12">
        <v>0</v>
      </c>
      <c r="BV3" s="12">
        <v>0</v>
      </c>
      <c r="BW3" s="12">
        <v>0</v>
      </c>
      <c r="BX3" s="12">
        <v>0</v>
      </c>
      <c r="BY3" s="12">
        <v>0</v>
      </c>
      <c r="BZ3" s="12">
        <v>0</v>
      </c>
      <c r="CA3" s="12">
        <v>0</v>
      </c>
      <c r="CB3" s="12">
        <v>0</v>
      </c>
      <c r="CC3" s="12">
        <v>0</v>
      </c>
      <c r="CD3" s="12">
        <v>0</v>
      </c>
      <c r="CE3" s="12">
        <v>0</v>
      </c>
      <c r="CF3" s="12">
        <v>0</v>
      </c>
      <c r="CG3" s="12">
        <v>0</v>
      </c>
      <c r="CH3" s="11">
        <v>0</v>
      </c>
      <c r="CI3" s="11">
        <v>0</v>
      </c>
      <c r="CJ3" s="11">
        <v>0</v>
      </c>
      <c r="CK3" s="11">
        <v>0</v>
      </c>
      <c r="CL3" s="11">
        <v>0</v>
      </c>
      <c r="CM3" s="11">
        <v>0</v>
      </c>
      <c r="CN3" s="11">
        <v>0</v>
      </c>
      <c r="CO3" s="29">
        <v>0</v>
      </c>
      <c r="CP3" s="29">
        <v>0</v>
      </c>
      <c r="CQ3" s="29">
        <v>0</v>
      </c>
      <c r="CR3" s="29">
        <v>0</v>
      </c>
      <c r="CS3" s="11">
        <v>1</v>
      </c>
      <c r="CT3" s="30">
        <v>45.666666666666664</v>
      </c>
      <c r="CU3" s="30">
        <v>38.666666666666664</v>
      </c>
      <c r="CV3" s="12">
        <v>0</v>
      </c>
      <c r="CW3" s="12">
        <v>0</v>
      </c>
      <c r="CX3" s="11">
        <v>0</v>
      </c>
      <c r="CY3" s="11">
        <v>0</v>
      </c>
      <c r="CZ3" s="11">
        <v>0</v>
      </c>
      <c r="DA3" s="11">
        <v>0</v>
      </c>
      <c r="DB3" s="11">
        <v>0</v>
      </c>
      <c r="DC3" s="11">
        <v>0</v>
      </c>
      <c r="DD3" s="11">
        <v>0</v>
      </c>
      <c r="DE3" s="11">
        <v>240.05600000000001</v>
      </c>
      <c r="DF3" s="11">
        <v>82.852999999999994</v>
      </c>
      <c r="DI3" s="12">
        <v>108787.11285758173</v>
      </c>
      <c r="DJ3" s="12">
        <v>67454</v>
      </c>
      <c r="DK3" s="12">
        <v>29468</v>
      </c>
      <c r="DL3" s="12">
        <v>167997</v>
      </c>
      <c r="DM3" s="12">
        <v>271770</v>
      </c>
      <c r="DN3" s="12">
        <v>429850</v>
      </c>
      <c r="DO3" s="12">
        <v>417926</v>
      </c>
      <c r="DP3" s="12">
        <v>506928</v>
      </c>
      <c r="DQ3" s="12">
        <v>756819</v>
      </c>
      <c r="DR3" s="12">
        <v>1407165</v>
      </c>
      <c r="DS3" s="12">
        <v>1573810</v>
      </c>
      <c r="DT3" s="12">
        <v>1702298</v>
      </c>
      <c r="DU3" s="12">
        <v>2174062</v>
      </c>
      <c r="DV3" s="12">
        <v>2676919</v>
      </c>
      <c r="DW3" s="12">
        <v>3129383</v>
      </c>
      <c r="DX3" s="12">
        <v>3307084</v>
      </c>
      <c r="DY3" s="12">
        <v>3618303</v>
      </c>
      <c r="DZ3" s="12">
        <v>4027947</v>
      </c>
      <c r="EC3" s="11">
        <v>52.412500000000001</v>
      </c>
      <c r="ED3" s="11">
        <v>177.25</v>
      </c>
      <c r="EE3" s="11">
        <f>IF(SUM(EA3:ED3)&gt;0,0,1)</f>
        <v>0</v>
      </c>
      <c r="EF3" s="11">
        <v>1</v>
      </c>
      <c r="EG3" s="11">
        <v>0</v>
      </c>
      <c r="EH3" s="11">
        <v>0</v>
      </c>
      <c r="EI3" s="11">
        <v>0</v>
      </c>
      <c r="EJ3" s="11">
        <v>0</v>
      </c>
      <c r="EK3" s="11">
        <v>0</v>
      </c>
      <c r="EL3" s="11">
        <v>0</v>
      </c>
      <c r="EM3" s="11">
        <v>0</v>
      </c>
      <c r="EN3" s="11">
        <v>0</v>
      </c>
      <c r="EO3" s="11">
        <v>0</v>
      </c>
      <c r="EP3" s="11">
        <v>1</v>
      </c>
      <c r="EQ3" s="11">
        <v>0.31752833840199057</v>
      </c>
      <c r="ER3" s="11">
        <v>0.35761680951064417</v>
      </c>
      <c r="ES3" s="11">
        <v>0.17929223113077136</v>
      </c>
      <c r="ET3" s="11">
        <v>6.5109206524744265E-2</v>
      </c>
      <c r="EU3" s="31">
        <v>0.53288172862931471</v>
      </c>
      <c r="EV3" s="31">
        <v>2.8974291000000001</v>
      </c>
    </row>
    <row r="4" spans="1:152" x14ac:dyDescent="0.2">
      <c r="A4" s="11">
        <v>2</v>
      </c>
      <c r="B4" s="11">
        <v>2</v>
      </c>
      <c r="C4" s="11" t="s">
        <v>1</v>
      </c>
      <c r="D4" s="12">
        <v>67226</v>
      </c>
      <c r="E4" s="12">
        <v>196636.66587997694</v>
      </c>
      <c r="F4" s="12">
        <v>216183.55855873282</v>
      </c>
      <c r="G4" s="12">
        <v>263370</v>
      </c>
      <c r="H4" s="12">
        <v>381063</v>
      </c>
      <c r="I4" s="12">
        <v>548293</v>
      </c>
      <c r="J4" s="12">
        <v>742786</v>
      </c>
      <c r="K4" s="12">
        <v>820754</v>
      </c>
      <c r="L4" s="12">
        <v>997940</v>
      </c>
      <c r="M4" s="12">
        <v>1208094</v>
      </c>
      <c r="N4" s="27">
        <v>1.9E-2</v>
      </c>
      <c r="O4" s="11">
        <f t="shared" si="0"/>
        <v>0</v>
      </c>
      <c r="P4" s="11">
        <v>1</v>
      </c>
      <c r="Q4" s="11">
        <v>0</v>
      </c>
      <c r="R4" s="11">
        <v>0</v>
      </c>
      <c r="S4" s="11">
        <v>1</v>
      </c>
      <c r="T4" s="11">
        <v>1</v>
      </c>
      <c r="U4" s="11">
        <v>1</v>
      </c>
      <c r="V4" s="11">
        <v>1</v>
      </c>
      <c r="W4" s="11">
        <v>1</v>
      </c>
      <c r="X4" s="11">
        <v>0</v>
      </c>
      <c r="Y4" s="11">
        <v>0</v>
      </c>
      <c r="Z4" s="11">
        <v>0</v>
      </c>
      <c r="AA4" s="11">
        <v>652</v>
      </c>
      <c r="AB4" s="11">
        <v>0</v>
      </c>
      <c r="AC4" s="28"/>
      <c r="AD4" s="28"/>
      <c r="AE4" s="28">
        <f>10+35/60</f>
        <v>10.583333333333334</v>
      </c>
      <c r="AF4" s="28">
        <v>0</v>
      </c>
      <c r="AI4" s="11">
        <v>426</v>
      </c>
      <c r="AJ4" s="11">
        <v>0</v>
      </c>
      <c r="AM4" s="11">
        <v>433</v>
      </c>
      <c r="AO4" s="12">
        <f>0</f>
        <v>0</v>
      </c>
      <c r="AP4" s="12">
        <f>0</f>
        <v>0</v>
      </c>
      <c r="AQ4" s="12">
        <f>0</f>
        <v>0</v>
      </c>
      <c r="AR4" s="12">
        <f>0</f>
        <v>0</v>
      </c>
      <c r="AS4" s="12">
        <v>1</v>
      </c>
      <c r="AT4" s="12">
        <v>1</v>
      </c>
      <c r="AU4" s="12">
        <v>1</v>
      </c>
      <c r="AV4" s="12">
        <v>1</v>
      </c>
      <c r="AW4" s="12">
        <v>1</v>
      </c>
      <c r="AX4" s="12">
        <v>1</v>
      </c>
      <c r="AY4" s="12">
        <v>1</v>
      </c>
      <c r="AZ4" s="12">
        <v>1</v>
      </c>
      <c r="BA4" s="12">
        <v>1</v>
      </c>
      <c r="BB4" s="12">
        <v>1</v>
      </c>
      <c r="BC4" s="12">
        <v>1</v>
      </c>
      <c r="BD4" s="12">
        <v>1</v>
      </c>
      <c r="BE4" s="12">
        <v>1</v>
      </c>
      <c r="BF4" s="12">
        <v>1</v>
      </c>
      <c r="BG4" s="12">
        <v>1</v>
      </c>
      <c r="BH4" s="12">
        <v>1</v>
      </c>
      <c r="BI4" s="12">
        <v>1</v>
      </c>
      <c r="BJ4" s="12">
        <v>1</v>
      </c>
      <c r="BK4" s="12">
        <v>1</v>
      </c>
      <c r="BL4" s="12">
        <v>2041.8</v>
      </c>
      <c r="BM4" s="12">
        <v>1243.4939999999999</v>
      </c>
      <c r="BN4" s="12">
        <v>22.267859999999999</v>
      </c>
      <c r="BO4" s="12">
        <v>14.719049999999999</v>
      </c>
      <c r="BP4" s="12">
        <v>4252</v>
      </c>
      <c r="BQ4" s="12">
        <v>6183</v>
      </c>
      <c r="BR4" s="12">
        <v>1</v>
      </c>
      <c r="BS4" s="12">
        <v>1</v>
      </c>
      <c r="BT4" s="12">
        <f>1940020+410203</f>
        <v>2350223</v>
      </c>
      <c r="BU4" s="12">
        <v>2526391</v>
      </c>
      <c r="BV4" s="12">
        <v>8864</v>
      </c>
      <c r="BW4" s="12">
        <v>2531380</v>
      </c>
      <c r="BX4" s="12">
        <v>6923</v>
      </c>
      <c r="BY4" s="12">
        <v>3083059</v>
      </c>
      <c r="BZ4" s="12">
        <v>4866</v>
      </c>
      <c r="CA4" s="12">
        <v>1727980</v>
      </c>
      <c r="CB4" s="12">
        <v>5382</v>
      </c>
      <c r="CC4" s="12">
        <v>3093626</v>
      </c>
      <c r="CD4" s="12">
        <v>2914</v>
      </c>
      <c r="CE4" s="12">
        <v>4958474</v>
      </c>
      <c r="CF4" s="12">
        <v>1169</v>
      </c>
      <c r="CG4" s="12">
        <v>6170000</v>
      </c>
      <c r="CH4" s="11">
        <v>1</v>
      </c>
      <c r="CI4" s="11">
        <v>1</v>
      </c>
      <c r="CJ4" s="11">
        <v>1</v>
      </c>
      <c r="CK4" s="11">
        <v>1</v>
      </c>
      <c r="CL4" s="11">
        <v>1</v>
      </c>
      <c r="CM4" s="11">
        <v>1</v>
      </c>
      <c r="CN4" s="11">
        <v>1</v>
      </c>
      <c r="CO4" s="29">
        <v>1</v>
      </c>
      <c r="CP4" s="29">
        <v>1</v>
      </c>
      <c r="CQ4" s="29">
        <v>1</v>
      </c>
      <c r="CR4" s="29">
        <v>1</v>
      </c>
      <c r="CS4" s="11">
        <v>1</v>
      </c>
      <c r="CT4" s="30">
        <v>5.333333333333333</v>
      </c>
      <c r="CU4" s="30">
        <v>15</v>
      </c>
      <c r="CV4" s="12">
        <v>0</v>
      </c>
      <c r="CW4" s="12">
        <v>0</v>
      </c>
      <c r="CX4" s="11">
        <v>1</v>
      </c>
      <c r="CY4" s="11">
        <v>1</v>
      </c>
      <c r="CZ4" s="11">
        <v>1</v>
      </c>
      <c r="DA4" s="11">
        <v>1</v>
      </c>
      <c r="DB4" s="11">
        <v>1</v>
      </c>
      <c r="DC4" s="11">
        <v>1</v>
      </c>
      <c r="DD4" s="11">
        <v>1</v>
      </c>
      <c r="DG4" s="11">
        <v>0</v>
      </c>
      <c r="DH4" s="11">
        <v>492.69400000000002</v>
      </c>
      <c r="DI4" s="12">
        <v>108787.11285758173</v>
      </c>
      <c r="DJ4" s="12">
        <v>67454</v>
      </c>
      <c r="DK4" s="12">
        <v>29468</v>
      </c>
      <c r="DL4" s="12">
        <v>167997</v>
      </c>
      <c r="DM4" s="12">
        <v>271770</v>
      </c>
      <c r="DN4" s="12">
        <v>429850</v>
      </c>
      <c r="DO4" s="12">
        <v>417926</v>
      </c>
      <c r="DP4" s="12">
        <v>506928</v>
      </c>
      <c r="DQ4" s="12">
        <v>756819</v>
      </c>
      <c r="DR4" s="12">
        <v>1407165</v>
      </c>
      <c r="DS4" s="12">
        <v>1573810</v>
      </c>
      <c r="DT4" s="12">
        <v>1702298</v>
      </c>
      <c r="DU4" s="12">
        <v>2174062</v>
      </c>
      <c r="DV4" s="12">
        <v>2676919</v>
      </c>
      <c r="DW4" s="12">
        <v>3129383</v>
      </c>
      <c r="DX4" s="12">
        <v>3307084</v>
      </c>
      <c r="DY4" s="12">
        <v>3618303</v>
      </c>
      <c r="DZ4" s="12">
        <v>4027947</v>
      </c>
      <c r="EA4" s="11">
        <v>0</v>
      </c>
      <c r="EB4" s="11">
        <v>428.71249999999998</v>
      </c>
      <c r="EE4" s="11">
        <f t="shared" ref="EE4:EE62" si="1">IF(SUM(EA4:ED4)&gt;0,0,1)</f>
        <v>0</v>
      </c>
      <c r="EF4" s="11">
        <v>1</v>
      </c>
      <c r="EG4" s="11">
        <v>0</v>
      </c>
      <c r="EH4" s="11">
        <v>0</v>
      </c>
      <c r="EI4" s="11">
        <v>0</v>
      </c>
      <c r="EJ4" s="11">
        <v>0</v>
      </c>
      <c r="EK4" s="11">
        <v>0</v>
      </c>
      <c r="EL4" s="11">
        <v>0</v>
      </c>
      <c r="EM4" s="11">
        <v>0</v>
      </c>
      <c r="EN4" s="11">
        <v>1</v>
      </c>
      <c r="EO4" s="11">
        <v>0</v>
      </c>
      <c r="EP4" s="11">
        <v>0</v>
      </c>
      <c r="EQ4" s="11">
        <v>0.13402909031144711</v>
      </c>
      <c r="ER4" s="11">
        <v>0.34872764127427619</v>
      </c>
      <c r="ES4" s="11">
        <v>0.1476611791345952</v>
      </c>
      <c r="ET4" s="11">
        <v>0.26075364541959989</v>
      </c>
      <c r="EU4" s="11">
        <v>0.76706244127445122</v>
      </c>
      <c r="EV4" s="11">
        <v>3.3810947999999996</v>
      </c>
    </row>
    <row r="5" spans="1:152" x14ac:dyDescent="0.2">
      <c r="A5" s="11">
        <v>49</v>
      </c>
      <c r="B5" s="11">
        <v>3</v>
      </c>
      <c r="C5" s="13" t="s">
        <v>51</v>
      </c>
      <c r="D5" s="12">
        <v>1017</v>
      </c>
      <c r="E5" s="12">
        <v>1544.9657054248657</v>
      </c>
      <c r="F5" s="12">
        <v>1548.9733985647485</v>
      </c>
      <c r="G5" s="12">
        <v>1692</v>
      </c>
      <c r="H5" s="12">
        <v>3323</v>
      </c>
      <c r="I5" s="12">
        <v>4419</v>
      </c>
      <c r="J5" s="12">
        <v>4740</v>
      </c>
      <c r="K5" s="14">
        <v>4227</v>
      </c>
      <c r="L5" s="12">
        <v>3807.8670886075947</v>
      </c>
      <c r="M5" s="12">
        <v>3644.3755274261603</v>
      </c>
      <c r="N5" s="27">
        <v>2E-3</v>
      </c>
      <c r="O5" s="11">
        <f t="shared" si="0"/>
        <v>0</v>
      </c>
      <c r="P5" s="11">
        <v>0</v>
      </c>
      <c r="Q5" s="11">
        <v>0</v>
      </c>
      <c r="R5" s="11">
        <v>0</v>
      </c>
      <c r="S5" s="11">
        <v>1</v>
      </c>
      <c r="T5" s="11">
        <v>0</v>
      </c>
      <c r="U5" s="11">
        <v>0</v>
      </c>
      <c r="V5" s="11">
        <v>1</v>
      </c>
      <c r="W5" s="11">
        <v>1</v>
      </c>
      <c r="X5" s="11">
        <v>51</v>
      </c>
      <c r="Y5" s="11">
        <v>82</v>
      </c>
      <c r="Z5" s="11">
        <v>456</v>
      </c>
      <c r="AA5" s="11">
        <v>0</v>
      </c>
      <c r="AB5" s="11">
        <v>0</v>
      </c>
      <c r="AC5" s="28">
        <f>1+20/60</f>
        <v>1.3333333333333333</v>
      </c>
      <c r="AD5" s="28">
        <f>7+15/45</f>
        <v>7.333333333333333</v>
      </c>
      <c r="AE5" s="28"/>
      <c r="AF5" s="28"/>
      <c r="AG5" s="11">
        <v>50</v>
      </c>
      <c r="AH5" s="11">
        <v>276</v>
      </c>
      <c r="AK5" s="11">
        <v>51</v>
      </c>
      <c r="AL5" s="11">
        <v>282</v>
      </c>
      <c r="AO5" s="12">
        <f>0</f>
        <v>0</v>
      </c>
      <c r="AP5" s="12">
        <f>0</f>
        <v>0</v>
      </c>
      <c r="AQ5" s="12">
        <f>0</f>
        <v>0</v>
      </c>
      <c r="AR5" s="12">
        <f>0</f>
        <v>0</v>
      </c>
      <c r="AS5" s="12">
        <v>1</v>
      </c>
      <c r="AT5" s="12">
        <v>1</v>
      </c>
      <c r="AU5" s="14">
        <v>1</v>
      </c>
      <c r="AV5" s="12">
        <v>1</v>
      </c>
      <c r="AW5" s="12">
        <v>1</v>
      </c>
      <c r="AX5" s="12">
        <v>0</v>
      </c>
      <c r="AY5" s="12">
        <v>0</v>
      </c>
      <c r="AZ5" s="12">
        <v>0</v>
      </c>
      <c r="BA5" s="12">
        <v>0</v>
      </c>
      <c r="BB5" s="12">
        <v>0</v>
      </c>
      <c r="BC5" s="12">
        <v>0</v>
      </c>
      <c r="BD5" s="12">
        <v>0</v>
      </c>
      <c r="BE5" s="12">
        <v>0</v>
      </c>
      <c r="BF5" s="12">
        <v>0</v>
      </c>
      <c r="BG5" s="12">
        <v>0</v>
      </c>
      <c r="BH5" s="12">
        <v>0</v>
      </c>
      <c r="BI5" s="12">
        <v>0</v>
      </c>
      <c r="BJ5" s="12">
        <v>0</v>
      </c>
      <c r="BK5" s="12">
        <v>0</v>
      </c>
      <c r="BL5" s="12">
        <v>1634.6030000000001</v>
      </c>
      <c r="BM5" s="12">
        <v>689.56179999999995</v>
      </c>
      <c r="BN5" s="12">
        <v>19.667120000000001</v>
      </c>
      <c r="BO5" s="12">
        <v>10.17329</v>
      </c>
      <c r="BP5" s="12">
        <v>0</v>
      </c>
      <c r="BQ5" s="12">
        <v>0</v>
      </c>
      <c r="BR5" s="12">
        <v>0</v>
      </c>
      <c r="BS5" s="12">
        <v>0</v>
      </c>
      <c r="BT5" s="12">
        <v>0</v>
      </c>
      <c r="BU5" s="12">
        <v>0</v>
      </c>
      <c r="BV5" s="12">
        <v>0</v>
      </c>
      <c r="BW5" s="12">
        <v>0</v>
      </c>
      <c r="BX5" s="12">
        <v>0</v>
      </c>
      <c r="BY5" s="12">
        <v>0</v>
      </c>
      <c r="BZ5" s="12">
        <v>0</v>
      </c>
      <c r="CA5" s="12">
        <v>0</v>
      </c>
      <c r="CB5" s="12">
        <v>0</v>
      </c>
      <c r="CC5" s="12">
        <v>0</v>
      </c>
      <c r="CD5" s="12">
        <v>0</v>
      </c>
      <c r="CE5" s="12">
        <v>0</v>
      </c>
      <c r="CF5" s="12">
        <v>0</v>
      </c>
      <c r="CG5" s="12">
        <v>0</v>
      </c>
      <c r="CH5" s="11">
        <v>0</v>
      </c>
      <c r="CI5" s="11">
        <v>0</v>
      </c>
      <c r="CJ5" s="11">
        <v>0</v>
      </c>
      <c r="CK5" s="11">
        <v>0</v>
      </c>
      <c r="CL5" s="11">
        <v>0</v>
      </c>
      <c r="CM5" s="11">
        <v>0</v>
      </c>
      <c r="CN5" s="11">
        <v>0</v>
      </c>
      <c r="CO5" s="29">
        <v>0</v>
      </c>
      <c r="CP5" s="29">
        <v>0</v>
      </c>
      <c r="CQ5" s="29">
        <v>0</v>
      </c>
      <c r="CR5" s="29">
        <v>0</v>
      </c>
      <c r="CS5" s="11">
        <v>1</v>
      </c>
      <c r="CT5" s="30">
        <v>64.666666666666671</v>
      </c>
      <c r="CU5" s="30">
        <v>33.333333333333336</v>
      </c>
      <c r="CV5" s="12">
        <v>0</v>
      </c>
      <c r="CW5" s="12">
        <v>0</v>
      </c>
      <c r="CX5" s="11">
        <v>0</v>
      </c>
      <c r="CY5" s="11">
        <v>0</v>
      </c>
      <c r="CZ5" s="11">
        <v>0</v>
      </c>
      <c r="DA5" s="11">
        <v>0</v>
      </c>
      <c r="DB5" s="11">
        <v>0</v>
      </c>
      <c r="DC5" s="11">
        <v>0</v>
      </c>
      <c r="DD5" s="11">
        <v>0</v>
      </c>
      <c r="DE5" s="11">
        <v>71.531999999999996</v>
      </c>
      <c r="DF5" s="11">
        <v>378.048</v>
      </c>
      <c r="DI5" s="12">
        <v>108787.11285758173</v>
      </c>
      <c r="DJ5" s="12">
        <v>67454</v>
      </c>
      <c r="DK5" s="12">
        <v>29468</v>
      </c>
      <c r="DL5" s="12">
        <v>167997</v>
      </c>
      <c r="DM5" s="12">
        <v>271770</v>
      </c>
      <c r="DN5" s="12">
        <v>429850</v>
      </c>
      <c r="DO5" s="12">
        <v>417926</v>
      </c>
      <c r="DP5" s="12">
        <v>506928</v>
      </c>
      <c r="DQ5" s="12">
        <v>756819</v>
      </c>
      <c r="DR5" s="12">
        <v>1407165</v>
      </c>
      <c r="DS5" s="12">
        <v>1573810</v>
      </c>
      <c r="DT5" s="12">
        <v>1702298</v>
      </c>
      <c r="DU5" s="12">
        <v>2174062</v>
      </c>
      <c r="DV5" s="12">
        <v>2676919</v>
      </c>
      <c r="DW5" s="12">
        <v>3129383</v>
      </c>
      <c r="DX5" s="12">
        <v>3307084</v>
      </c>
      <c r="DY5" s="12">
        <v>3618303</v>
      </c>
      <c r="DZ5" s="12">
        <v>4027947</v>
      </c>
      <c r="EC5" s="11">
        <v>281.85000000000002</v>
      </c>
      <c r="ED5" s="11">
        <v>51.1875</v>
      </c>
      <c r="EE5" s="11">
        <f t="shared" si="1"/>
        <v>0</v>
      </c>
      <c r="EF5" s="11">
        <v>1</v>
      </c>
      <c r="EG5" s="11">
        <v>0</v>
      </c>
      <c r="EH5" s="11">
        <v>0</v>
      </c>
      <c r="EI5" s="11">
        <v>0</v>
      </c>
      <c r="EJ5" s="11">
        <v>1</v>
      </c>
      <c r="EK5" s="11">
        <v>0</v>
      </c>
      <c r="EL5" s="11">
        <v>0</v>
      </c>
      <c r="EM5" s="11">
        <v>0</v>
      </c>
      <c r="EN5" s="11">
        <v>0</v>
      </c>
      <c r="EO5" s="11">
        <v>0</v>
      </c>
      <c r="EP5" s="11">
        <v>0</v>
      </c>
      <c r="EQ5" s="11">
        <v>0.33287165281625114</v>
      </c>
      <c r="ER5" s="11">
        <v>0.34325946445060018</v>
      </c>
      <c r="ES5" s="11">
        <v>0.16874422899353647</v>
      </c>
      <c r="ET5" s="11">
        <v>6.209602954755309E-2</v>
      </c>
      <c r="EU5" s="11">
        <v>0.62039521472938308</v>
      </c>
      <c r="EV5" s="11">
        <v>3.3381552000000001</v>
      </c>
    </row>
    <row r="6" spans="1:152" x14ac:dyDescent="0.2">
      <c r="A6" s="11">
        <v>18</v>
      </c>
      <c r="B6" s="11">
        <v>4</v>
      </c>
      <c r="C6" s="13" t="s">
        <v>17</v>
      </c>
      <c r="D6" s="12">
        <v>3222</v>
      </c>
      <c r="E6" s="12">
        <v>6212.1687967161724</v>
      </c>
      <c r="F6" s="12">
        <v>6274.4649138112009</v>
      </c>
      <c r="G6" s="12">
        <v>7160.5953681450737</v>
      </c>
      <c r="H6" s="12">
        <v>11421.02572645838</v>
      </c>
      <c r="I6" s="12">
        <v>16404.948765566965</v>
      </c>
      <c r="J6" s="12">
        <v>21253.836355691503</v>
      </c>
      <c r="K6" s="14">
        <v>22681</v>
      </c>
      <c r="L6" s="14">
        <v>25875</v>
      </c>
      <c r="M6" s="12">
        <v>28527</v>
      </c>
      <c r="N6" s="27">
        <v>6.0000000000000001E-3</v>
      </c>
      <c r="O6" s="11">
        <f t="shared" si="0"/>
        <v>0</v>
      </c>
      <c r="P6" s="11">
        <v>0</v>
      </c>
      <c r="Q6" s="11">
        <v>1</v>
      </c>
      <c r="R6" s="11">
        <v>0</v>
      </c>
      <c r="S6" s="11">
        <v>1</v>
      </c>
      <c r="T6" s="11">
        <v>0</v>
      </c>
      <c r="U6" s="11">
        <v>0</v>
      </c>
      <c r="V6" s="11">
        <v>1</v>
      </c>
      <c r="W6" s="11">
        <v>0</v>
      </c>
      <c r="X6" s="11">
        <v>20</v>
      </c>
      <c r="Y6" s="11">
        <v>676</v>
      </c>
      <c r="Z6" s="11">
        <v>311</v>
      </c>
      <c r="AA6" s="11">
        <v>0</v>
      </c>
      <c r="AB6" s="11">
        <v>0</v>
      </c>
      <c r="AC6" s="28">
        <f>11+40/60</f>
        <v>11.666666666666666</v>
      </c>
      <c r="AD6" s="28">
        <f>5+45/60</f>
        <v>5.75</v>
      </c>
      <c r="AE6" s="28"/>
      <c r="AF6" s="28"/>
      <c r="AG6" s="11">
        <v>427</v>
      </c>
      <c r="AH6" s="11">
        <v>201</v>
      </c>
      <c r="AK6" s="11">
        <v>447</v>
      </c>
      <c r="AL6" s="11">
        <v>216</v>
      </c>
      <c r="AO6" s="12">
        <f>0</f>
        <v>0</v>
      </c>
      <c r="AP6" s="12">
        <f>0</f>
        <v>0</v>
      </c>
      <c r="AQ6" s="12">
        <f>0</f>
        <v>0</v>
      </c>
      <c r="AR6" s="12">
        <f>0</f>
        <v>0</v>
      </c>
      <c r="AS6" s="12">
        <v>0</v>
      </c>
      <c r="AT6" s="12">
        <v>0</v>
      </c>
      <c r="AU6" s="14">
        <v>0</v>
      </c>
      <c r="AV6" s="14">
        <v>0</v>
      </c>
      <c r="AW6" s="14">
        <v>0</v>
      </c>
      <c r="AX6" s="12">
        <v>0</v>
      </c>
      <c r="AY6" s="12">
        <v>0</v>
      </c>
      <c r="AZ6" s="12">
        <v>0</v>
      </c>
      <c r="BA6" s="12">
        <v>0</v>
      </c>
      <c r="BB6" s="12">
        <v>0</v>
      </c>
      <c r="BC6" s="12">
        <v>0</v>
      </c>
      <c r="BD6" s="12">
        <v>0</v>
      </c>
      <c r="BE6" s="12">
        <v>0</v>
      </c>
      <c r="BF6" s="12">
        <v>0</v>
      </c>
      <c r="BG6" s="12">
        <v>1</v>
      </c>
      <c r="BH6" s="12">
        <v>1</v>
      </c>
      <c r="BI6" s="12">
        <v>1</v>
      </c>
      <c r="BJ6" s="12">
        <v>1</v>
      </c>
      <c r="BK6" s="12">
        <v>1</v>
      </c>
      <c r="BL6" s="12">
        <v>2445.0149999999999</v>
      </c>
      <c r="BM6" s="12">
        <v>644.39620000000002</v>
      </c>
      <c r="BN6" s="12">
        <v>23.167919999999999</v>
      </c>
      <c r="BO6" s="12">
        <v>13.025930000000001</v>
      </c>
      <c r="BP6" s="12">
        <v>356</v>
      </c>
      <c r="BQ6" s="12">
        <v>535</v>
      </c>
      <c r="BR6" s="12">
        <v>1</v>
      </c>
      <c r="BS6" s="12">
        <v>1</v>
      </c>
      <c r="BT6" s="12">
        <v>801995</v>
      </c>
      <c r="BU6" s="12">
        <v>615363</v>
      </c>
      <c r="BV6" s="12">
        <v>623</v>
      </c>
      <c r="BW6" s="12">
        <v>306484</v>
      </c>
      <c r="BX6" s="12">
        <v>581</v>
      </c>
      <c r="BY6" s="12">
        <v>318264</v>
      </c>
      <c r="BZ6" s="12">
        <v>428</v>
      </c>
      <c r="CA6" s="12">
        <v>170857</v>
      </c>
      <c r="CB6" s="12">
        <f>346+72</f>
        <v>418</v>
      </c>
      <c r="CC6" s="12">
        <f>280505+6336</f>
        <v>286841</v>
      </c>
      <c r="CD6" s="12">
        <v>777</v>
      </c>
      <c r="CE6" s="12">
        <v>1185770</v>
      </c>
      <c r="CF6" s="12">
        <v>22</v>
      </c>
      <c r="CG6" s="12">
        <v>121000</v>
      </c>
      <c r="CH6" s="11">
        <v>1</v>
      </c>
      <c r="CI6" s="11">
        <v>1</v>
      </c>
      <c r="CJ6" s="11">
        <v>1</v>
      </c>
      <c r="CK6" s="11">
        <v>1</v>
      </c>
      <c r="CL6" s="11">
        <v>1</v>
      </c>
      <c r="CM6" s="11">
        <v>1</v>
      </c>
      <c r="CN6" s="11">
        <v>1</v>
      </c>
      <c r="CO6" s="29">
        <v>1</v>
      </c>
      <c r="CP6" s="29">
        <v>1</v>
      </c>
      <c r="CQ6" s="29">
        <v>1</v>
      </c>
      <c r="CR6" s="29">
        <v>1</v>
      </c>
      <c r="CS6" s="11">
        <v>1</v>
      </c>
      <c r="CT6" s="30">
        <v>46.666666666666664</v>
      </c>
      <c r="CU6" s="30">
        <v>12.666666666666666</v>
      </c>
      <c r="CV6" s="12">
        <v>0</v>
      </c>
      <c r="CW6" s="12">
        <v>0</v>
      </c>
      <c r="CX6" s="11">
        <v>0</v>
      </c>
      <c r="CY6" s="11">
        <v>0</v>
      </c>
      <c r="CZ6" s="11">
        <v>0</v>
      </c>
      <c r="DA6" s="11">
        <v>0</v>
      </c>
      <c r="DB6" s="11">
        <v>0</v>
      </c>
      <c r="DC6" s="11">
        <v>1</v>
      </c>
      <c r="DD6" s="11">
        <v>1</v>
      </c>
      <c r="DE6" s="11">
        <v>559.30100000000004</v>
      </c>
      <c r="DF6" s="11">
        <v>249.26</v>
      </c>
      <c r="DI6" s="12">
        <v>108787.11285758173</v>
      </c>
      <c r="DJ6" s="12">
        <v>67454</v>
      </c>
      <c r="DK6" s="12">
        <v>29468</v>
      </c>
      <c r="DL6" s="12">
        <v>167997</v>
      </c>
      <c r="DM6" s="12">
        <v>271770</v>
      </c>
      <c r="DN6" s="12">
        <v>429850</v>
      </c>
      <c r="DO6" s="12">
        <v>417926</v>
      </c>
      <c r="DP6" s="12">
        <v>506928</v>
      </c>
      <c r="DQ6" s="12">
        <v>756819</v>
      </c>
      <c r="DR6" s="12">
        <v>1407165</v>
      </c>
      <c r="DS6" s="12">
        <v>1573810</v>
      </c>
      <c r="DT6" s="12">
        <v>1702298</v>
      </c>
      <c r="DU6" s="12">
        <v>2174062</v>
      </c>
      <c r="DV6" s="12">
        <v>2676919</v>
      </c>
      <c r="DW6" s="12">
        <v>3129383</v>
      </c>
      <c r="DX6" s="12">
        <v>3307084</v>
      </c>
      <c r="DY6" s="12">
        <v>3618303</v>
      </c>
      <c r="DZ6" s="12">
        <v>4027947</v>
      </c>
      <c r="EE6" s="11">
        <f t="shared" si="1"/>
        <v>1</v>
      </c>
      <c r="EF6" s="11">
        <v>1</v>
      </c>
      <c r="EG6" s="11">
        <v>0</v>
      </c>
      <c r="EH6" s="11">
        <v>0</v>
      </c>
      <c r="EI6" s="11">
        <v>0</v>
      </c>
      <c r="EJ6" s="11">
        <v>0</v>
      </c>
      <c r="EK6" s="11">
        <v>0</v>
      </c>
      <c r="EL6" s="11">
        <v>0</v>
      </c>
      <c r="EM6" s="11">
        <v>1</v>
      </c>
      <c r="EN6" s="11">
        <v>0</v>
      </c>
      <c r="EO6" s="11">
        <v>0</v>
      </c>
      <c r="EP6" s="11">
        <v>0</v>
      </c>
      <c r="EQ6" s="11">
        <v>0.25983365101368916</v>
      </c>
      <c r="ER6" s="11">
        <v>0.34058222145208805</v>
      </c>
      <c r="ES6" s="11">
        <v>0.20273782706636631</v>
      </c>
      <c r="ET6" s="11">
        <v>8.3261133252469241E-2</v>
      </c>
      <c r="EU6" s="11">
        <v>1.2213770388958596</v>
      </c>
      <c r="EV6" s="11">
        <v>1.2494297000000003</v>
      </c>
    </row>
    <row r="7" spans="1:152" x14ac:dyDescent="0.2">
      <c r="A7" s="11">
        <v>60</v>
      </c>
      <c r="B7" s="11">
        <v>5</v>
      </c>
      <c r="C7" s="11" t="s">
        <v>63</v>
      </c>
      <c r="D7" s="12">
        <v>0</v>
      </c>
      <c r="E7" s="12">
        <v>1579.8157224002332</v>
      </c>
      <c r="F7" s="12">
        <v>2046.8305418001748</v>
      </c>
      <c r="G7" s="12">
        <v>2059</v>
      </c>
      <c r="H7" s="12">
        <v>2693</v>
      </c>
      <c r="I7" s="12">
        <v>3279</v>
      </c>
      <c r="J7" s="12">
        <v>3016</v>
      </c>
      <c r="K7" s="14">
        <v>2537</v>
      </c>
      <c r="L7" s="12">
        <v>2010.5109223300969</v>
      </c>
      <c r="M7" s="12">
        <v>1644.1237864077668</v>
      </c>
      <c r="N7" s="27">
        <v>4.0000000000000001E-3</v>
      </c>
      <c r="O7" s="11">
        <f t="shared" si="0"/>
        <v>1</v>
      </c>
      <c r="P7" s="11">
        <v>1</v>
      </c>
      <c r="Q7" s="11">
        <v>0</v>
      </c>
      <c r="R7" s="11">
        <v>0</v>
      </c>
      <c r="S7" s="11">
        <v>1</v>
      </c>
      <c r="T7" s="11">
        <v>1</v>
      </c>
      <c r="U7" s="11">
        <v>0</v>
      </c>
      <c r="V7" s="11">
        <v>0</v>
      </c>
      <c r="W7" s="11">
        <v>1</v>
      </c>
      <c r="X7" s="11">
        <v>0</v>
      </c>
      <c r="Y7" s="11">
        <v>239</v>
      </c>
      <c r="Z7" s="11">
        <v>613</v>
      </c>
      <c r="AA7" s="11">
        <v>0</v>
      </c>
      <c r="AB7" s="11">
        <v>0</v>
      </c>
      <c r="AC7" s="28">
        <f>4+10/60</f>
        <v>4.166666666666667</v>
      </c>
      <c r="AD7" s="28">
        <f>10+5/60</f>
        <v>10.083333333333334</v>
      </c>
      <c r="AE7" s="28"/>
      <c r="AF7" s="28"/>
      <c r="AG7" s="11">
        <v>162</v>
      </c>
      <c r="AH7" s="11">
        <v>388</v>
      </c>
      <c r="AK7" s="11">
        <v>170</v>
      </c>
      <c r="AL7" s="11">
        <v>401</v>
      </c>
      <c r="AO7" s="12">
        <f>0</f>
        <v>0</v>
      </c>
      <c r="AP7" s="12">
        <f>0</f>
        <v>0</v>
      </c>
      <c r="AQ7" s="12">
        <f>0</f>
        <v>0</v>
      </c>
      <c r="AR7" s="12">
        <f>0</f>
        <v>0</v>
      </c>
      <c r="AS7" s="14">
        <v>0</v>
      </c>
      <c r="AT7" s="14">
        <v>0</v>
      </c>
      <c r="AU7" s="14">
        <v>0</v>
      </c>
      <c r="AV7" s="14">
        <v>0</v>
      </c>
      <c r="AW7" s="14">
        <v>0</v>
      </c>
      <c r="AX7" s="12">
        <v>0</v>
      </c>
      <c r="AY7" s="12">
        <v>0</v>
      </c>
      <c r="AZ7" s="12">
        <v>0</v>
      </c>
      <c r="BA7" s="12">
        <v>0</v>
      </c>
      <c r="BB7" s="12">
        <v>0</v>
      </c>
      <c r="BC7" s="12">
        <v>0</v>
      </c>
      <c r="BD7" s="12">
        <v>0</v>
      </c>
      <c r="BE7" s="12">
        <v>0</v>
      </c>
      <c r="BF7" s="12">
        <v>0</v>
      </c>
      <c r="BG7" s="12">
        <v>0</v>
      </c>
      <c r="BH7" s="12">
        <v>0</v>
      </c>
      <c r="BI7" s="12">
        <v>0</v>
      </c>
      <c r="BJ7" s="12">
        <v>0</v>
      </c>
      <c r="BK7" s="12">
        <v>0</v>
      </c>
      <c r="BL7" s="12">
        <v>1653.508</v>
      </c>
      <c r="BM7" s="12">
        <v>995.05669999999998</v>
      </c>
      <c r="BN7" s="12">
        <v>18.224620000000002</v>
      </c>
      <c r="BO7" s="12">
        <v>10.122730000000001</v>
      </c>
      <c r="BP7" s="12">
        <v>0</v>
      </c>
      <c r="BQ7" s="12">
        <v>0</v>
      </c>
      <c r="BR7" s="12">
        <v>0</v>
      </c>
      <c r="BS7" s="12">
        <v>0</v>
      </c>
      <c r="BT7" s="12">
        <v>689759</v>
      </c>
      <c r="BU7" s="12">
        <v>398516</v>
      </c>
      <c r="BV7" s="12">
        <v>414</v>
      </c>
      <c r="BW7" s="12">
        <v>393519</v>
      </c>
      <c r="BX7" s="12">
        <v>468</v>
      </c>
      <c r="BY7" s="12">
        <v>567</v>
      </c>
      <c r="BZ7" s="12">
        <v>309</v>
      </c>
      <c r="CA7" s="12">
        <v>208204</v>
      </c>
      <c r="CB7" s="12">
        <v>345</v>
      </c>
      <c r="CC7" s="12">
        <v>466043</v>
      </c>
      <c r="CD7" s="12">
        <v>514</v>
      </c>
      <c r="CE7" s="12">
        <v>961893</v>
      </c>
      <c r="CF7" s="12">
        <v>185</v>
      </c>
      <c r="CG7" s="12">
        <v>1020000</v>
      </c>
      <c r="CH7" s="11">
        <v>1</v>
      </c>
      <c r="CI7" s="11">
        <v>1</v>
      </c>
      <c r="CJ7" s="11">
        <v>1</v>
      </c>
      <c r="CK7" s="11">
        <v>1</v>
      </c>
      <c r="CL7" s="11">
        <v>1</v>
      </c>
      <c r="CM7" s="11">
        <v>1</v>
      </c>
      <c r="CN7" s="11">
        <v>1</v>
      </c>
      <c r="CO7" s="29">
        <v>1</v>
      </c>
      <c r="CP7" s="29">
        <v>1</v>
      </c>
      <c r="CQ7" s="29">
        <v>1</v>
      </c>
      <c r="CR7" s="29">
        <v>1</v>
      </c>
      <c r="CS7" s="11">
        <v>1</v>
      </c>
      <c r="CT7" s="30">
        <v>27.333333333333332</v>
      </c>
      <c r="CU7" s="30">
        <v>59</v>
      </c>
      <c r="CV7" s="12">
        <v>0</v>
      </c>
      <c r="CW7" s="12">
        <v>0</v>
      </c>
      <c r="CX7" s="11">
        <v>0</v>
      </c>
      <c r="CY7" s="11">
        <v>0</v>
      </c>
      <c r="CZ7" s="11">
        <v>0</v>
      </c>
      <c r="DA7" s="11">
        <v>0</v>
      </c>
      <c r="DB7" s="11">
        <v>0</v>
      </c>
      <c r="DC7" s="11">
        <v>0</v>
      </c>
      <c r="DD7" s="11">
        <v>0</v>
      </c>
      <c r="DE7" s="11">
        <v>184.654</v>
      </c>
      <c r="DF7" s="11">
        <v>479.85599999999999</v>
      </c>
      <c r="DI7" s="12">
        <v>108787.11285758173</v>
      </c>
      <c r="DJ7" s="12">
        <v>67454</v>
      </c>
      <c r="DK7" s="12">
        <v>29468</v>
      </c>
      <c r="DL7" s="12">
        <v>167997</v>
      </c>
      <c r="DM7" s="12">
        <v>271770</v>
      </c>
      <c r="DN7" s="12">
        <v>429850</v>
      </c>
      <c r="DO7" s="12">
        <v>417926</v>
      </c>
      <c r="DP7" s="12">
        <v>506928</v>
      </c>
      <c r="DQ7" s="12">
        <v>756819</v>
      </c>
      <c r="DR7" s="12">
        <v>1407165</v>
      </c>
      <c r="DS7" s="12">
        <v>1573810</v>
      </c>
      <c r="DT7" s="12">
        <v>1702298</v>
      </c>
      <c r="DU7" s="12">
        <v>2174062</v>
      </c>
      <c r="DV7" s="12">
        <v>2676919</v>
      </c>
      <c r="DW7" s="12">
        <v>3129383</v>
      </c>
      <c r="DX7" s="12">
        <v>3307084</v>
      </c>
      <c r="DY7" s="12">
        <v>3618303</v>
      </c>
      <c r="DZ7" s="12">
        <v>4027947</v>
      </c>
      <c r="EC7" s="11">
        <v>740.6</v>
      </c>
      <c r="ED7" s="11">
        <v>155.9375</v>
      </c>
      <c r="EE7" s="11">
        <f t="shared" si="1"/>
        <v>0</v>
      </c>
      <c r="EF7" s="11">
        <v>1</v>
      </c>
      <c r="EG7" s="11">
        <v>0</v>
      </c>
      <c r="EH7" s="11">
        <v>0</v>
      </c>
      <c r="EI7" s="11">
        <v>0</v>
      </c>
      <c r="EJ7" s="11">
        <v>1</v>
      </c>
      <c r="EK7" s="11">
        <v>0</v>
      </c>
      <c r="EL7" s="11">
        <v>0</v>
      </c>
      <c r="EM7" s="11">
        <v>0</v>
      </c>
      <c r="EN7" s="11">
        <v>0</v>
      </c>
      <c r="EO7" s="11">
        <v>0</v>
      </c>
      <c r="EP7" s="11">
        <v>0</v>
      </c>
      <c r="EQ7" s="11">
        <v>0.31850187265917601</v>
      </c>
      <c r="ER7" s="11">
        <v>0.31977528089887641</v>
      </c>
      <c r="ES7" s="11">
        <v>0.1752808988764045</v>
      </c>
      <c r="ET7" s="11">
        <v>8.3295880149812734E-2</v>
      </c>
      <c r="EU7" s="11">
        <v>0.62039521472938308</v>
      </c>
      <c r="EV7" s="11">
        <v>3.5934296999999997</v>
      </c>
    </row>
    <row r="8" spans="1:152" x14ac:dyDescent="0.2">
      <c r="A8" s="11">
        <v>34</v>
      </c>
      <c r="B8" s="11">
        <v>6</v>
      </c>
      <c r="C8" s="13" t="s">
        <v>33</v>
      </c>
      <c r="D8" s="12">
        <v>989</v>
      </c>
      <c r="E8" s="12">
        <v>2056.5203700134903</v>
      </c>
      <c r="F8" s="12">
        <v>2241.7191366351899</v>
      </c>
      <c r="G8" s="12">
        <v>2567</v>
      </c>
      <c r="H8" s="12">
        <v>3408</v>
      </c>
      <c r="I8" s="12">
        <v>5962</v>
      </c>
      <c r="J8" s="12">
        <v>7841</v>
      </c>
      <c r="K8" s="14">
        <v>10145</v>
      </c>
      <c r="L8" s="12">
        <v>11417.600256657042</v>
      </c>
      <c r="M8" s="12">
        <v>12546.992300288741</v>
      </c>
      <c r="N8" s="27">
        <v>1.7000000000000001E-2</v>
      </c>
      <c r="O8" s="11">
        <f t="shared" si="0"/>
        <v>0</v>
      </c>
      <c r="P8" s="11">
        <v>0</v>
      </c>
      <c r="Q8" s="11">
        <v>0</v>
      </c>
      <c r="R8" s="11">
        <v>0</v>
      </c>
      <c r="S8" s="11">
        <v>1</v>
      </c>
      <c r="T8" s="11">
        <v>0</v>
      </c>
      <c r="U8" s="11">
        <v>1</v>
      </c>
      <c r="V8" s="11">
        <v>1</v>
      </c>
      <c r="W8" s="11">
        <v>0</v>
      </c>
      <c r="X8" s="11">
        <v>66</v>
      </c>
      <c r="Y8" s="11">
        <v>0</v>
      </c>
      <c r="Z8" s="11">
        <v>0</v>
      </c>
      <c r="AA8" s="11">
        <v>551</v>
      </c>
      <c r="AB8" s="11">
        <v>151</v>
      </c>
      <c r="AC8" s="28"/>
      <c r="AD8" s="28"/>
      <c r="AE8" s="28">
        <f>7+55/60</f>
        <v>7.916666666666667</v>
      </c>
      <c r="AF8" s="28">
        <f>2+40/60</f>
        <v>2.6666666666666665</v>
      </c>
      <c r="AI8" s="11">
        <v>329</v>
      </c>
      <c r="AJ8" s="11">
        <v>97</v>
      </c>
      <c r="AM8" s="11">
        <v>347</v>
      </c>
      <c r="AN8" s="11">
        <v>96</v>
      </c>
      <c r="AO8" s="12">
        <f>0</f>
        <v>0</v>
      </c>
      <c r="AP8" s="12">
        <f>0</f>
        <v>0</v>
      </c>
      <c r="AQ8" s="12">
        <f>0</f>
        <v>0</v>
      </c>
      <c r="AR8" s="12">
        <f>0</f>
        <v>0</v>
      </c>
      <c r="AS8" s="12">
        <v>0</v>
      </c>
      <c r="AT8" s="12">
        <v>0</v>
      </c>
      <c r="AU8" s="12">
        <v>0</v>
      </c>
      <c r="AV8" s="12">
        <v>0</v>
      </c>
      <c r="AW8" s="12">
        <v>0</v>
      </c>
      <c r="AX8" s="12">
        <v>0</v>
      </c>
      <c r="AY8" s="12">
        <v>0</v>
      </c>
      <c r="AZ8" s="12">
        <v>0</v>
      </c>
      <c r="BA8" s="12">
        <v>0</v>
      </c>
      <c r="BB8" s="12">
        <v>0</v>
      </c>
      <c r="BC8" s="12">
        <v>0</v>
      </c>
      <c r="BD8" s="12">
        <v>0</v>
      </c>
      <c r="BE8" s="12">
        <v>0</v>
      </c>
      <c r="BF8" s="12">
        <v>0</v>
      </c>
      <c r="BG8" s="12">
        <v>0</v>
      </c>
      <c r="BH8" s="12">
        <v>0</v>
      </c>
      <c r="BI8" s="12">
        <v>0</v>
      </c>
      <c r="BJ8" s="12">
        <v>0</v>
      </c>
      <c r="BK8" s="12">
        <v>0</v>
      </c>
      <c r="BL8" s="12">
        <v>2102.4830000000002</v>
      </c>
      <c r="BM8" s="12">
        <v>1196.5429999999999</v>
      </c>
      <c r="BN8" s="12">
        <v>23.588889999999999</v>
      </c>
      <c r="BO8" s="12">
        <v>13.840909999999999</v>
      </c>
      <c r="BP8" s="12">
        <v>142</v>
      </c>
      <c r="BQ8" s="12">
        <v>0</v>
      </c>
      <c r="BR8" s="12">
        <v>1</v>
      </c>
      <c r="BS8" s="12">
        <v>0</v>
      </c>
      <c r="BT8" s="12">
        <v>0</v>
      </c>
      <c r="BU8" s="12">
        <v>0</v>
      </c>
      <c r="BV8" s="12">
        <v>0</v>
      </c>
      <c r="BW8" s="12">
        <v>0</v>
      </c>
      <c r="BX8" s="12">
        <v>0</v>
      </c>
      <c r="BY8" s="12">
        <v>0</v>
      </c>
      <c r="BZ8" s="12">
        <v>0</v>
      </c>
      <c r="CA8" s="12">
        <v>0</v>
      </c>
      <c r="CB8" s="12">
        <v>0</v>
      </c>
      <c r="CC8" s="12">
        <v>0</v>
      </c>
      <c r="CD8" s="12">
        <v>0</v>
      </c>
      <c r="CE8" s="12">
        <v>0</v>
      </c>
      <c r="CF8" s="12">
        <v>0</v>
      </c>
      <c r="CG8" s="12">
        <v>0</v>
      </c>
      <c r="CH8" s="11">
        <v>0</v>
      </c>
      <c r="CI8" s="11">
        <v>0</v>
      </c>
      <c r="CJ8" s="11">
        <v>0</v>
      </c>
      <c r="CK8" s="11">
        <v>0</v>
      </c>
      <c r="CL8" s="11">
        <v>0</v>
      </c>
      <c r="CM8" s="11">
        <v>0</v>
      </c>
      <c r="CN8" s="11">
        <v>0</v>
      </c>
      <c r="CO8" s="29">
        <v>0</v>
      </c>
      <c r="CP8" s="29">
        <v>0</v>
      </c>
      <c r="CQ8" s="29">
        <v>0</v>
      </c>
      <c r="CR8" s="29">
        <v>0</v>
      </c>
      <c r="CS8" s="11">
        <v>1</v>
      </c>
      <c r="CT8" s="30">
        <v>20.333333333333332</v>
      </c>
      <c r="CU8" s="30">
        <v>60.333333333333336</v>
      </c>
      <c r="CV8" s="12">
        <v>0</v>
      </c>
      <c r="CW8" s="12">
        <v>0</v>
      </c>
      <c r="CX8" s="11">
        <v>0</v>
      </c>
      <c r="CY8" s="11">
        <v>0</v>
      </c>
      <c r="CZ8" s="11">
        <v>0</v>
      </c>
      <c r="DA8" s="11">
        <v>0</v>
      </c>
      <c r="DB8" s="11">
        <v>0</v>
      </c>
      <c r="DC8" s="11">
        <v>0</v>
      </c>
      <c r="DD8" s="11">
        <v>0</v>
      </c>
      <c r="DG8" s="11">
        <v>131.44399999999999</v>
      </c>
      <c r="DH8" s="11">
        <v>381.61399999999998</v>
      </c>
      <c r="DI8" s="12">
        <v>108787.11285758173</v>
      </c>
      <c r="DJ8" s="12">
        <v>67454</v>
      </c>
      <c r="DK8" s="12">
        <v>29468</v>
      </c>
      <c r="DL8" s="12">
        <v>167997</v>
      </c>
      <c r="DM8" s="12">
        <v>271770</v>
      </c>
      <c r="DN8" s="12">
        <v>429850</v>
      </c>
      <c r="DO8" s="12">
        <v>417926</v>
      </c>
      <c r="DP8" s="12">
        <v>506928</v>
      </c>
      <c r="DQ8" s="12">
        <v>756819</v>
      </c>
      <c r="DR8" s="12">
        <v>1407165</v>
      </c>
      <c r="DS8" s="12">
        <v>1573810</v>
      </c>
      <c r="DT8" s="12">
        <v>1702298</v>
      </c>
      <c r="DU8" s="12">
        <v>2174062</v>
      </c>
      <c r="DV8" s="12">
        <v>2676919</v>
      </c>
      <c r="DW8" s="12">
        <v>3129383</v>
      </c>
      <c r="DX8" s="12">
        <v>3307084</v>
      </c>
      <c r="DY8" s="12">
        <v>3618303</v>
      </c>
      <c r="DZ8" s="12">
        <v>4027947</v>
      </c>
      <c r="EA8" s="11">
        <v>96.362499999999997</v>
      </c>
      <c r="EB8" s="11">
        <v>356.4</v>
      </c>
      <c r="EE8" s="11">
        <f t="shared" si="1"/>
        <v>0</v>
      </c>
      <c r="EF8" s="11">
        <v>0</v>
      </c>
      <c r="EG8" s="11">
        <v>1</v>
      </c>
      <c r="EH8" s="11">
        <v>0</v>
      </c>
      <c r="EI8" s="11">
        <v>0</v>
      </c>
      <c r="EJ8" s="11">
        <v>0</v>
      </c>
      <c r="EK8" s="11">
        <v>0</v>
      </c>
      <c r="EL8" s="11">
        <v>0</v>
      </c>
      <c r="EM8" s="11">
        <v>0</v>
      </c>
      <c r="EN8" s="11">
        <v>1</v>
      </c>
      <c r="EO8" s="11">
        <v>0</v>
      </c>
      <c r="EP8" s="11">
        <v>0</v>
      </c>
      <c r="EQ8" s="11">
        <v>0.25818513451892383</v>
      </c>
      <c r="ER8" s="11">
        <v>0.35275877792977656</v>
      </c>
      <c r="ES8" s="11">
        <v>0.19735522115823073</v>
      </c>
      <c r="ET8" s="11">
        <v>0.10405836753305973</v>
      </c>
      <c r="EU8" s="11">
        <v>27.91750503018109</v>
      </c>
      <c r="EV8" s="11">
        <v>4.3840165999999998</v>
      </c>
    </row>
    <row r="9" spans="1:152" x14ac:dyDescent="0.2">
      <c r="A9" s="11">
        <v>56</v>
      </c>
      <c r="B9" s="11">
        <v>7</v>
      </c>
      <c r="C9" s="11" t="s">
        <v>58</v>
      </c>
      <c r="D9" s="12">
        <v>1205</v>
      </c>
      <c r="E9" s="12">
        <v>1758.0757447122662</v>
      </c>
      <c r="F9" s="12">
        <v>1935.3945590786609</v>
      </c>
      <c r="G9" s="12">
        <v>1918</v>
      </c>
      <c r="H9" s="12">
        <v>2590</v>
      </c>
      <c r="I9" s="12">
        <v>3536</v>
      </c>
      <c r="J9" s="12">
        <v>3985</v>
      </c>
      <c r="K9" s="14">
        <v>3902</v>
      </c>
      <c r="L9" s="12">
        <v>3967.5011990407675</v>
      </c>
      <c r="M9" s="12">
        <v>3877.0471622701839</v>
      </c>
      <c r="N9" s="27">
        <v>7.0000000000000001E-3</v>
      </c>
      <c r="O9" s="11">
        <f t="shared" si="0"/>
        <v>0</v>
      </c>
      <c r="P9" s="11">
        <v>0</v>
      </c>
      <c r="Q9" s="11">
        <v>0</v>
      </c>
      <c r="R9" s="11">
        <v>0</v>
      </c>
      <c r="S9" s="11">
        <v>1</v>
      </c>
      <c r="T9" s="11">
        <v>0</v>
      </c>
      <c r="U9" s="11">
        <v>1</v>
      </c>
      <c r="V9" s="11">
        <v>1</v>
      </c>
      <c r="W9" s="11">
        <v>0</v>
      </c>
      <c r="X9" s="11">
        <v>56</v>
      </c>
      <c r="Y9" s="11">
        <v>0</v>
      </c>
      <c r="Z9" s="11">
        <v>0</v>
      </c>
      <c r="AA9" s="11">
        <v>85</v>
      </c>
      <c r="AB9" s="11">
        <v>641</v>
      </c>
      <c r="AC9" s="28"/>
      <c r="AD9" s="28"/>
      <c r="AE9" s="28">
        <f>2+10/60</f>
        <v>2.1666666666666665</v>
      </c>
      <c r="AF9" s="28">
        <f>11+25/60</f>
        <v>11.416666666666666</v>
      </c>
      <c r="AI9" s="11">
        <v>56</v>
      </c>
      <c r="AJ9" s="11">
        <v>434</v>
      </c>
      <c r="AM9" s="11">
        <v>56</v>
      </c>
      <c r="AN9" s="11">
        <v>437</v>
      </c>
      <c r="AO9" s="12">
        <f>0</f>
        <v>0</v>
      </c>
      <c r="AP9" s="12">
        <f>0</f>
        <v>0</v>
      </c>
      <c r="AQ9" s="12">
        <f>0</f>
        <v>0</v>
      </c>
      <c r="AR9" s="12">
        <f>0</f>
        <v>0</v>
      </c>
      <c r="AS9" s="14">
        <v>0</v>
      </c>
      <c r="AT9" s="14">
        <v>0</v>
      </c>
      <c r="AU9" s="14">
        <v>0</v>
      </c>
      <c r="AV9" s="14">
        <v>0</v>
      </c>
      <c r="AW9" s="14">
        <v>0</v>
      </c>
      <c r="AX9" s="12">
        <v>0</v>
      </c>
      <c r="AY9" s="12">
        <v>0</v>
      </c>
      <c r="AZ9" s="12">
        <v>0</v>
      </c>
      <c r="BA9" s="12">
        <v>0</v>
      </c>
      <c r="BB9" s="12">
        <v>0</v>
      </c>
      <c r="BC9" s="12">
        <v>0</v>
      </c>
      <c r="BD9" s="12">
        <v>0</v>
      </c>
      <c r="BE9" s="12">
        <v>0</v>
      </c>
      <c r="BF9" s="12">
        <v>0</v>
      </c>
      <c r="BG9" s="12">
        <v>0</v>
      </c>
      <c r="BH9" s="12">
        <v>0</v>
      </c>
      <c r="BI9" s="12">
        <v>0</v>
      </c>
      <c r="BJ9" s="12">
        <v>0</v>
      </c>
      <c r="BK9" s="12">
        <v>0</v>
      </c>
      <c r="BL9" s="12">
        <v>2068.7730000000001</v>
      </c>
      <c r="BM9" s="12">
        <v>1072.991</v>
      </c>
      <c r="BN9" s="12">
        <v>23.381250000000001</v>
      </c>
      <c r="BO9" s="12">
        <v>13.00723</v>
      </c>
      <c r="BP9" s="12">
        <v>0</v>
      </c>
      <c r="BQ9" s="12">
        <v>0</v>
      </c>
      <c r="BR9" s="12">
        <v>0</v>
      </c>
      <c r="BS9" s="12">
        <v>0</v>
      </c>
      <c r="BT9" s="12">
        <v>0</v>
      </c>
      <c r="BU9" s="12">
        <v>0</v>
      </c>
      <c r="BV9" s="12">
        <v>0</v>
      </c>
      <c r="BW9" s="12">
        <v>0</v>
      </c>
      <c r="BX9" s="12">
        <v>0</v>
      </c>
      <c r="BY9" s="12">
        <v>0</v>
      </c>
      <c r="BZ9" s="12">
        <v>0</v>
      </c>
      <c r="CA9" s="12">
        <v>0</v>
      </c>
      <c r="CB9" s="12">
        <v>0</v>
      </c>
      <c r="CC9" s="12">
        <v>0</v>
      </c>
      <c r="CD9" s="12">
        <v>0</v>
      </c>
      <c r="CE9" s="12">
        <v>0</v>
      </c>
      <c r="CF9" s="12">
        <v>0</v>
      </c>
      <c r="CG9" s="12">
        <v>0</v>
      </c>
      <c r="CH9" s="11">
        <v>0</v>
      </c>
      <c r="CI9" s="11">
        <v>0</v>
      </c>
      <c r="CJ9" s="11">
        <v>0</v>
      </c>
      <c r="CK9" s="11">
        <v>0</v>
      </c>
      <c r="CL9" s="11">
        <v>0</v>
      </c>
      <c r="CM9" s="11">
        <v>0</v>
      </c>
      <c r="CN9" s="11">
        <v>0</v>
      </c>
      <c r="CO9" s="29">
        <v>0</v>
      </c>
      <c r="CP9" s="29">
        <v>0</v>
      </c>
      <c r="CQ9" s="29">
        <v>0</v>
      </c>
      <c r="CR9" s="29">
        <v>0</v>
      </c>
      <c r="CS9" s="11">
        <v>1</v>
      </c>
      <c r="CT9" s="30">
        <v>53</v>
      </c>
      <c r="CU9" s="30">
        <v>30.333333333333332</v>
      </c>
      <c r="CV9" s="12">
        <v>0</v>
      </c>
      <c r="CW9" s="12">
        <v>0</v>
      </c>
      <c r="CX9" s="11">
        <v>0</v>
      </c>
      <c r="CY9" s="11">
        <v>0</v>
      </c>
      <c r="CZ9" s="11">
        <v>0</v>
      </c>
      <c r="DA9" s="11">
        <v>0</v>
      </c>
      <c r="DB9" s="11">
        <v>0</v>
      </c>
      <c r="DC9" s="11">
        <v>0</v>
      </c>
      <c r="DD9" s="11">
        <v>0</v>
      </c>
      <c r="DG9" s="11">
        <v>468.77</v>
      </c>
      <c r="DH9" s="11">
        <v>68.924000000000007</v>
      </c>
      <c r="DI9" s="12">
        <v>108787.11285758173</v>
      </c>
      <c r="DJ9" s="12">
        <v>67454</v>
      </c>
      <c r="DK9" s="12">
        <v>29468</v>
      </c>
      <c r="DL9" s="12">
        <v>167997</v>
      </c>
      <c r="DM9" s="12">
        <v>271770</v>
      </c>
      <c r="DN9" s="12">
        <v>429850</v>
      </c>
      <c r="DO9" s="12">
        <v>417926</v>
      </c>
      <c r="DP9" s="12">
        <v>506928</v>
      </c>
      <c r="DQ9" s="12">
        <v>756819</v>
      </c>
      <c r="DR9" s="12">
        <v>1407165</v>
      </c>
      <c r="DS9" s="12">
        <v>1573810</v>
      </c>
      <c r="DT9" s="12">
        <v>1702298</v>
      </c>
      <c r="DU9" s="12">
        <v>2174062</v>
      </c>
      <c r="DV9" s="12">
        <v>2676919</v>
      </c>
      <c r="DW9" s="12">
        <v>3129383</v>
      </c>
      <c r="DX9" s="12">
        <v>3307084</v>
      </c>
      <c r="DY9" s="12">
        <v>3618303</v>
      </c>
      <c r="DZ9" s="12">
        <v>4027947</v>
      </c>
      <c r="EA9" s="11">
        <v>421.83749999999998</v>
      </c>
      <c r="EB9" s="11">
        <v>49.1875</v>
      </c>
      <c r="EE9" s="11">
        <f t="shared" si="1"/>
        <v>0</v>
      </c>
      <c r="EF9" s="11">
        <v>1</v>
      </c>
      <c r="EG9" s="11">
        <v>0</v>
      </c>
      <c r="EH9" s="11">
        <v>0</v>
      </c>
      <c r="EI9" s="11">
        <v>0</v>
      </c>
      <c r="EJ9" s="11">
        <v>0</v>
      </c>
      <c r="EK9" s="11">
        <v>0</v>
      </c>
      <c r="EL9" s="11">
        <v>0</v>
      </c>
      <c r="EM9" s="11">
        <v>0</v>
      </c>
      <c r="EN9" s="11">
        <v>0</v>
      </c>
      <c r="EO9" s="11">
        <v>1</v>
      </c>
      <c r="EP9" s="11">
        <v>0</v>
      </c>
      <c r="EQ9" s="11">
        <v>0.28907922912205569</v>
      </c>
      <c r="ER9" s="11">
        <v>0.33511777301927193</v>
      </c>
      <c r="ES9" s="11">
        <v>0.1943254817987152</v>
      </c>
      <c r="ET9" s="11">
        <v>8.9935760171306209E-2</v>
      </c>
      <c r="EU9" s="11">
        <v>9.1824440619621353</v>
      </c>
      <c r="EV9" s="11">
        <v>2.3931439000000001</v>
      </c>
    </row>
    <row r="10" spans="1:152" x14ac:dyDescent="0.2">
      <c r="A10" s="11">
        <v>19</v>
      </c>
      <c r="B10" s="11">
        <v>8</v>
      </c>
      <c r="C10" s="13" t="s">
        <v>18</v>
      </c>
      <c r="D10" s="12">
        <v>57041</v>
      </c>
      <c r="E10" s="12">
        <v>118785.61995052484</v>
      </c>
      <c r="F10" s="12">
        <v>132981.74950190546</v>
      </c>
      <c r="G10" s="12">
        <v>150047</v>
      </c>
      <c r="H10" s="12">
        <v>193367</v>
      </c>
      <c r="I10" s="12">
        <v>247248</v>
      </c>
      <c r="J10" s="12">
        <v>295296</v>
      </c>
      <c r="K10" s="12">
        <v>299373</v>
      </c>
      <c r="L10" s="12">
        <v>331443</v>
      </c>
      <c r="M10" s="12">
        <v>360768</v>
      </c>
      <c r="N10" s="27">
        <v>3.0000000000000001E-3</v>
      </c>
      <c r="O10" s="11">
        <f t="shared" si="0"/>
        <v>0</v>
      </c>
      <c r="P10" s="11">
        <v>1</v>
      </c>
      <c r="Q10" s="11">
        <v>0</v>
      </c>
      <c r="R10" s="11">
        <v>0</v>
      </c>
      <c r="S10" s="11">
        <v>1</v>
      </c>
      <c r="T10" s="11">
        <v>1</v>
      </c>
      <c r="U10" s="11">
        <v>0</v>
      </c>
      <c r="V10" s="11">
        <v>1</v>
      </c>
      <c r="W10" s="11">
        <v>1</v>
      </c>
      <c r="X10" s="11">
        <v>0</v>
      </c>
      <c r="Y10" s="11">
        <v>374</v>
      </c>
      <c r="Z10" s="11">
        <v>0</v>
      </c>
      <c r="AA10" s="11">
        <v>0</v>
      </c>
      <c r="AB10" s="11">
        <v>0</v>
      </c>
      <c r="AC10" s="28">
        <f>5+55/60</f>
        <v>5.916666666666667</v>
      </c>
      <c r="AD10" s="28">
        <v>0</v>
      </c>
      <c r="AE10" s="28"/>
      <c r="AF10" s="28"/>
      <c r="AG10" s="11">
        <v>226</v>
      </c>
      <c r="AH10" s="11">
        <v>0</v>
      </c>
      <c r="AK10" s="11">
        <v>231</v>
      </c>
      <c r="AL10" s="11">
        <v>0</v>
      </c>
      <c r="AO10" s="12">
        <f>0</f>
        <v>0</v>
      </c>
      <c r="AP10" s="12">
        <f>0</f>
        <v>0</v>
      </c>
      <c r="AQ10" s="12">
        <f>0</f>
        <v>0</v>
      </c>
      <c r="AR10" s="12">
        <f>0</f>
        <v>0</v>
      </c>
      <c r="AS10" s="12">
        <v>1</v>
      </c>
      <c r="AT10" s="12">
        <v>1</v>
      </c>
      <c r="AU10" s="12">
        <v>1</v>
      </c>
      <c r="AV10" s="12">
        <v>1</v>
      </c>
      <c r="AW10" s="12">
        <v>1</v>
      </c>
      <c r="AX10" s="12">
        <v>1</v>
      </c>
      <c r="AY10" s="12">
        <v>1</v>
      </c>
      <c r="AZ10" s="12">
        <v>1</v>
      </c>
      <c r="BA10" s="12">
        <v>1</v>
      </c>
      <c r="BB10" s="12">
        <v>1</v>
      </c>
      <c r="BC10" s="12">
        <v>1</v>
      </c>
      <c r="BD10" s="12">
        <v>1</v>
      </c>
      <c r="BE10" s="12">
        <v>1</v>
      </c>
      <c r="BF10" s="12">
        <v>1</v>
      </c>
      <c r="BG10" s="12">
        <v>1</v>
      </c>
      <c r="BH10" s="12">
        <v>1</v>
      </c>
      <c r="BI10" s="12">
        <v>1</v>
      </c>
      <c r="BJ10" s="12">
        <v>1</v>
      </c>
      <c r="BK10" s="12">
        <v>1</v>
      </c>
      <c r="BL10" s="12">
        <v>2068.221</v>
      </c>
      <c r="BM10" s="12">
        <v>621.41759999999999</v>
      </c>
      <c r="BN10" s="12">
        <v>21.16825</v>
      </c>
      <c r="BO10" s="12">
        <v>11.106350000000001</v>
      </c>
      <c r="BP10" s="12">
        <v>3841</v>
      </c>
      <c r="BQ10" s="12">
        <v>6560</v>
      </c>
      <c r="BR10" s="12">
        <v>1</v>
      </c>
      <c r="BS10" s="12">
        <v>1</v>
      </c>
      <c r="BT10" s="12">
        <v>3802844</v>
      </c>
      <c r="BU10" s="12">
        <v>3181430</v>
      </c>
      <c r="BV10" s="12">
        <v>1672</v>
      </c>
      <c r="BW10" s="12">
        <v>1966306</v>
      </c>
      <c r="BX10" s="12">
        <v>1318</v>
      </c>
      <c r="BY10" s="12">
        <v>2104781</v>
      </c>
      <c r="BZ10" s="12">
        <v>695</v>
      </c>
      <c r="CA10" s="12">
        <v>1512750</v>
      </c>
      <c r="CB10" s="12">
        <v>1130</v>
      </c>
      <c r="CC10" s="12">
        <v>2744247</v>
      </c>
      <c r="CD10" s="12">
        <v>1131</v>
      </c>
      <c r="CE10" s="12">
        <v>3420324</v>
      </c>
      <c r="CF10" s="12">
        <v>427</v>
      </c>
      <c r="CG10" s="12">
        <v>2033000</v>
      </c>
      <c r="CH10" s="11">
        <v>1</v>
      </c>
      <c r="CI10" s="11">
        <v>1</v>
      </c>
      <c r="CJ10" s="11">
        <v>1</v>
      </c>
      <c r="CK10" s="11">
        <v>1</v>
      </c>
      <c r="CL10" s="11">
        <v>1</v>
      </c>
      <c r="CM10" s="11">
        <v>1</v>
      </c>
      <c r="CN10" s="11">
        <v>1</v>
      </c>
      <c r="CO10" s="29">
        <v>1</v>
      </c>
      <c r="CP10" s="29">
        <v>1</v>
      </c>
      <c r="CQ10" s="29">
        <v>1</v>
      </c>
      <c r="CR10" s="29">
        <v>1</v>
      </c>
      <c r="CS10" s="11">
        <v>1</v>
      </c>
      <c r="CT10" s="30">
        <v>17</v>
      </c>
      <c r="CU10" s="30">
        <v>21.333333333333332</v>
      </c>
      <c r="CV10" s="12">
        <v>0</v>
      </c>
      <c r="CW10" s="12">
        <v>0</v>
      </c>
      <c r="CX10" s="11">
        <v>0</v>
      </c>
      <c r="CY10" s="11">
        <v>0</v>
      </c>
      <c r="CZ10" s="11">
        <v>0</v>
      </c>
      <c r="DA10" s="11">
        <v>0</v>
      </c>
      <c r="DB10" s="11">
        <v>0</v>
      </c>
      <c r="DC10" s="11">
        <v>0</v>
      </c>
      <c r="DD10" s="11">
        <v>0</v>
      </c>
      <c r="DE10" s="11">
        <v>310.76499999999999</v>
      </c>
      <c r="DF10" s="11">
        <v>0</v>
      </c>
      <c r="DI10" s="12">
        <v>108787.11285758173</v>
      </c>
      <c r="DJ10" s="12">
        <v>67454</v>
      </c>
      <c r="DK10" s="12">
        <v>29468</v>
      </c>
      <c r="DL10" s="12">
        <v>167997</v>
      </c>
      <c r="DM10" s="12">
        <v>271770</v>
      </c>
      <c r="DN10" s="12">
        <v>429850</v>
      </c>
      <c r="DO10" s="12">
        <v>417926</v>
      </c>
      <c r="DP10" s="12">
        <v>506928</v>
      </c>
      <c r="DQ10" s="12">
        <v>756819</v>
      </c>
      <c r="DR10" s="12">
        <v>1407165</v>
      </c>
      <c r="DS10" s="12">
        <v>1573810</v>
      </c>
      <c r="DT10" s="12">
        <v>1702298</v>
      </c>
      <c r="DU10" s="12">
        <v>2174062</v>
      </c>
      <c r="DV10" s="12">
        <v>2676919</v>
      </c>
      <c r="DW10" s="12">
        <v>3129383</v>
      </c>
      <c r="DX10" s="12">
        <v>3307084</v>
      </c>
      <c r="DY10" s="12">
        <v>3618303</v>
      </c>
      <c r="DZ10" s="12">
        <v>4027947</v>
      </c>
      <c r="EC10" s="11">
        <v>0</v>
      </c>
      <c r="ED10" s="11">
        <v>229.66249999999999</v>
      </c>
      <c r="EE10" s="11">
        <f t="shared" si="1"/>
        <v>0</v>
      </c>
      <c r="EF10" s="11">
        <v>1</v>
      </c>
      <c r="EG10" s="11">
        <v>0</v>
      </c>
      <c r="EH10" s="11">
        <v>0</v>
      </c>
      <c r="EI10" s="11">
        <v>0</v>
      </c>
      <c r="EJ10" s="11">
        <v>0</v>
      </c>
      <c r="EK10" s="11">
        <v>0</v>
      </c>
      <c r="EL10" s="11">
        <v>0</v>
      </c>
      <c r="EM10" s="11">
        <v>0</v>
      </c>
      <c r="EN10" s="11">
        <v>0</v>
      </c>
      <c r="EO10" s="11">
        <v>0</v>
      </c>
      <c r="EP10" s="11">
        <v>1</v>
      </c>
      <c r="EQ10" s="11">
        <v>0.21363322900641876</v>
      </c>
      <c r="ER10" s="11">
        <v>0.36485067105193358</v>
      </c>
      <c r="ES10" s="11">
        <v>0.18214418333244919</v>
      </c>
      <c r="ET10" s="11">
        <v>0.15307410747440453</v>
      </c>
      <c r="EU10" s="11">
        <v>0.53288172862931471</v>
      </c>
      <c r="EV10" s="11">
        <v>2.7981825000000002</v>
      </c>
    </row>
    <row r="11" spans="1:152" x14ac:dyDescent="0.2">
      <c r="A11" s="11">
        <v>41</v>
      </c>
      <c r="B11" s="11">
        <v>9</v>
      </c>
      <c r="C11" s="11" t="s">
        <v>43</v>
      </c>
      <c r="D11" s="12">
        <v>2315</v>
      </c>
      <c r="E11" s="12">
        <v>4275.8014100623832</v>
      </c>
      <c r="F11" s="12">
        <v>4417.8579602081873</v>
      </c>
      <c r="G11" s="12">
        <v>4334</v>
      </c>
      <c r="H11" s="12">
        <v>5294</v>
      </c>
      <c r="I11" s="12">
        <v>5728</v>
      </c>
      <c r="J11" s="12">
        <v>5638</v>
      </c>
      <c r="K11" s="14">
        <v>5873</v>
      </c>
      <c r="L11" s="12">
        <v>5343.9576407506702</v>
      </c>
      <c r="M11" s="12">
        <v>5123.5233243967832</v>
      </c>
      <c r="N11" s="27">
        <v>7.0000000000000001E-3</v>
      </c>
      <c r="O11" s="11">
        <f t="shared" si="0"/>
        <v>0</v>
      </c>
      <c r="P11" s="11">
        <v>0</v>
      </c>
      <c r="Q11" s="11">
        <v>0</v>
      </c>
      <c r="R11" s="11">
        <v>0</v>
      </c>
      <c r="S11" s="11">
        <v>1</v>
      </c>
      <c r="T11" s="11">
        <v>0</v>
      </c>
      <c r="U11" s="11">
        <v>1</v>
      </c>
      <c r="V11" s="11">
        <v>1</v>
      </c>
      <c r="W11" s="11">
        <v>0</v>
      </c>
      <c r="X11" s="11">
        <v>81</v>
      </c>
      <c r="Y11" s="11">
        <v>0</v>
      </c>
      <c r="Z11" s="11">
        <v>0</v>
      </c>
      <c r="AA11" s="11">
        <v>190</v>
      </c>
      <c r="AB11" s="11">
        <v>547</v>
      </c>
      <c r="AC11" s="28"/>
      <c r="AD11" s="28"/>
      <c r="AE11" s="28">
        <f>3+50/60</f>
        <v>3.8333333333333335</v>
      </c>
      <c r="AF11" s="28">
        <f>9+45/60</f>
        <v>9.75</v>
      </c>
      <c r="AI11" s="11">
        <v>132</v>
      </c>
      <c r="AJ11" s="11">
        <v>359</v>
      </c>
      <c r="AM11" s="11">
        <v>133</v>
      </c>
      <c r="AN11" s="11">
        <v>388</v>
      </c>
      <c r="AO11" s="12">
        <f>0</f>
        <v>0</v>
      </c>
      <c r="AP11" s="12">
        <f>0</f>
        <v>0</v>
      </c>
      <c r="AQ11" s="12">
        <f>0</f>
        <v>0</v>
      </c>
      <c r="AR11" s="12">
        <f>0</f>
        <v>0</v>
      </c>
      <c r="AS11" s="12">
        <v>0</v>
      </c>
      <c r="AT11" s="12">
        <v>0</v>
      </c>
      <c r="AU11" s="12">
        <v>0</v>
      </c>
      <c r="AV11" s="12">
        <v>0</v>
      </c>
      <c r="AW11" s="12">
        <v>0</v>
      </c>
      <c r="AX11" s="12">
        <v>0</v>
      </c>
      <c r="AY11" s="12">
        <v>0</v>
      </c>
      <c r="AZ11" s="12">
        <v>0</v>
      </c>
      <c r="BA11" s="12">
        <v>0</v>
      </c>
      <c r="BB11" s="12">
        <v>0</v>
      </c>
      <c r="BC11" s="12">
        <v>0</v>
      </c>
      <c r="BD11" s="12">
        <v>0</v>
      </c>
      <c r="BE11" s="12">
        <v>0</v>
      </c>
      <c r="BF11" s="12">
        <v>0</v>
      </c>
      <c r="BG11" s="12">
        <v>1</v>
      </c>
      <c r="BH11" s="12">
        <v>0</v>
      </c>
      <c r="BI11" s="12">
        <v>0</v>
      </c>
      <c r="BJ11" s="12">
        <v>0</v>
      </c>
      <c r="BK11" s="12">
        <v>0</v>
      </c>
      <c r="BL11" s="12">
        <v>1841.9880000000001</v>
      </c>
      <c r="BM11" s="12">
        <v>1064.6369999999999</v>
      </c>
      <c r="BN11" s="12">
        <v>21.845109999999998</v>
      </c>
      <c r="BO11" s="12">
        <v>11.956379999999999</v>
      </c>
      <c r="BP11" s="12">
        <v>270</v>
      </c>
      <c r="BQ11" s="12">
        <v>395</v>
      </c>
      <c r="BR11" s="12">
        <v>1</v>
      </c>
      <c r="BS11" s="12">
        <v>1</v>
      </c>
      <c r="BT11" s="12">
        <v>0</v>
      </c>
      <c r="BU11" s="12">
        <v>0</v>
      </c>
      <c r="BV11" s="12">
        <v>0</v>
      </c>
      <c r="BW11" s="12">
        <v>0</v>
      </c>
      <c r="BX11" s="12">
        <v>0</v>
      </c>
      <c r="BY11" s="12">
        <v>0</v>
      </c>
      <c r="BZ11" s="12">
        <v>0</v>
      </c>
      <c r="CA11" s="12">
        <v>0</v>
      </c>
      <c r="CB11" s="12">
        <v>0</v>
      </c>
      <c r="CC11" s="12">
        <v>0</v>
      </c>
      <c r="CD11" s="12">
        <v>0</v>
      </c>
      <c r="CE11" s="12">
        <v>0</v>
      </c>
      <c r="CF11" s="12">
        <v>0</v>
      </c>
      <c r="CG11" s="12">
        <v>0</v>
      </c>
      <c r="CH11" s="11">
        <v>0</v>
      </c>
      <c r="CI11" s="11">
        <v>0</v>
      </c>
      <c r="CJ11" s="11">
        <v>0</v>
      </c>
      <c r="CK11" s="11">
        <v>0</v>
      </c>
      <c r="CL11" s="11">
        <v>0</v>
      </c>
      <c r="CM11" s="11">
        <v>0</v>
      </c>
      <c r="CN11" s="11">
        <v>0</v>
      </c>
      <c r="CO11" s="29">
        <v>0</v>
      </c>
      <c r="CP11" s="29">
        <v>0</v>
      </c>
      <c r="CQ11" s="29">
        <v>0</v>
      </c>
      <c r="CR11" s="29">
        <v>0</v>
      </c>
      <c r="CS11" s="11">
        <v>1</v>
      </c>
      <c r="CT11" s="30">
        <v>58.666666666666664</v>
      </c>
      <c r="CU11" s="30">
        <v>47.666666666666664</v>
      </c>
      <c r="CV11" s="12">
        <v>0</v>
      </c>
      <c r="CW11" s="12">
        <v>0</v>
      </c>
      <c r="CX11" s="11">
        <v>0</v>
      </c>
      <c r="CY11" s="11">
        <v>0</v>
      </c>
      <c r="CZ11" s="11">
        <v>0</v>
      </c>
      <c r="DA11" s="11">
        <v>0</v>
      </c>
      <c r="DB11" s="11">
        <v>0</v>
      </c>
      <c r="DC11" s="11">
        <v>0</v>
      </c>
      <c r="DD11" s="11">
        <v>0</v>
      </c>
      <c r="DG11" s="11">
        <v>390.42899999999997</v>
      </c>
      <c r="DH11" s="11">
        <v>164.07</v>
      </c>
      <c r="DI11" s="12">
        <v>108787.11285758173</v>
      </c>
      <c r="DJ11" s="12">
        <v>67454</v>
      </c>
      <c r="DK11" s="12">
        <v>29468</v>
      </c>
      <c r="DL11" s="12">
        <v>167997</v>
      </c>
      <c r="DM11" s="12">
        <v>271770</v>
      </c>
      <c r="DN11" s="12">
        <v>429850</v>
      </c>
      <c r="DO11" s="12">
        <v>417926</v>
      </c>
      <c r="DP11" s="12">
        <v>506928</v>
      </c>
      <c r="DQ11" s="12">
        <v>756819</v>
      </c>
      <c r="DR11" s="12">
        <v>1407165</v>
      </c>
      <c r="DS11" s="12">
        <v>1573810</v>
      </c>
      <c r="DT11" s="12">
        <v>1702298</v>
      </c>
      <c r="DU11" s="12">
        <v>2174062</v>
      </c>
      <c r="DV11" s="12">
        <v>2676919</v>
      </c>
      <c r="DW11" s="12">
        <v>3129383</v>
      </c>
      <c r="DX11" s="12">
        <v>3307084</v>
      </c>
      <c r="DY11" s="12">
        <v>3618303</v>
      </c>
      <c r="DZ11" s="12">
        <v>4027947</v>
      </c>
      <c r="EA11" s="11">
        <v>371.8125</v>
      </c>
      <c r="EB11" s="11">
        <v>129.38749999999999</v>
      </c>
      <c r="EE11" s="11">
        <f t="shared" si="1"/>
        <v>0</v>
      </c>
      <c r="EF11" s="11">
        <v>0</v>
      </c>
      <c r="EG11" s="11">
        <v>0</v>
      </c>
      <c r="EH11" s="11">
        <v>1</v>
      </c>
      <c r="EI11" s="11">
        <v>0</v>
      </c>
      <c r="EJ11" s="11">
        <v>0</v>
      </c>
      <c r="EK11" s="11">
        <v>0</v>
      </c>
      <c r="EL11" s="11">
        <v>1</v>
      </c>
      <c r="EM11" s="11">
        <v>0</v>
      </c>
      <c r="EN11" s="11">
        <v>0</v>
      </c>
      <c r="EO11" s="11">
        <v>0</v>
      </c>
      <c r="EP11" s="11">
        <v>0</v>
      </c>
      <c r="EQ11" s="11">
        <v>0.3337061060165511</v>
      </c>
      <c r="ER11" s="11">
        <v>0.32968016103779912</v>
      </c>
      <c r="ES11" s="11">
        <v>0.16730038022813687</v>
      </c>
      <c r="ET11" s="11">
        <v>5.7481547752180721E-2</v>
      </c>
      <c r="EU11" s="11">
        <v>9.414196123147093</v>
      </c>
      <c r="EV11" s="11">
        <v>2.4403987999999996</v>
      </c>
    </row>
    <row r="12" spans="1:152" x14ac:dyDescent="0.2">
      <c r="A12" s="11">
        <v>32</v>
      </c>
      <c r="B12" s="11">
        <v>10</v>
      </c>
      <c r="C12" s="13" t="s">
        <v>31</v>
      </c>
      <c r="D12" s="12">
        <v>0</v>
      </c>
      <c r="E12" s="12">
        <v>1958.4594551722269</v>
      </c>
      <c r="F12" s="12">
        <v>2217.2777182386917</v>
      </c>
      <c r="G12" s="12">
        <v>2370</v>
      </c>
      <c r="H12" s="14">
        <v>3306</v>
      </c>
      <c r="I12" s="14">
        <v>3902</v>
      </c>
      <c r="J12" s="14">
        <v>4559</v>
      </c>
      <c r="K12" s="14">
        <v>4859</v>
      </c>
      <c r="L12" s="12">
        <v>4469.6364238410597</v>
      </c>
      <c r="M12" s="12">
        <v>4228.2953642384109</v>
      </c>
      <c r="N12" s="27">
        <v>1.9E-2</v>
      </c>
      <c r="O12" s="11">
        <f t="shared" si="0"/>
        <v>1</v>
      </c>
      <c r="P12" s="11">
        <v>0</v>
      </c>
      <c r="Q12" s="11">
        <v>0</v>
      </c>
      <c r="R12" s="11">
        <v>0</v>
      </c>
      <c r="S12" s="11">
        <v>1</v>
      </c>
      <c r="T12" s="11">
        <v>0</v>
      </c>
      <c r="U12" s="11">
        <v>1</v>
      </c>
      <c r="V12" s="11">
        <v>0</v>
      </c>
      <c r="W12" s="11">
        <v>0</v>
      </c>
      <c r="X12" s="11">
        <v>79</v>
      </c>
      <c r="Y12" s="11">
        <v>0</v>
      </c>
      <c r="Z12" s="11">
        <v>0</v>
      </c>
      <c r="AA12" s="11">
        <v>834</v>
      </c>
      <c r="AB12" s="11">
        <v>182</v>
      </c>
      <c r="AC12" s="28"/>
      <c r="AD12" s="28"/>
      <c r="AE12" s="28">
        <f>14+5/60</f>
        <v>14.083333333333334</v>
      </c>
      <c r="AF12" s="28">
        <f>3+30/60</f>
        <v>3.5</v>
      </c>
      <c r="AI12" s="11">
        <v>540</v>
      </c>
      <c r="AJ12" s="11">
        <v>114</v>
      </c>
      <c r="AM12" s="11">
        <v>578</v>
      </c>
      <c r="AN12" s="11">
        <v>145</v>
      </c>
      <c r="AO12" s="12">
        <f>0</f>
        <v>0</v>
      </c>
      <c r="AP12" s="12">
        <f>0</f>
        <v>0</v>
      </c>
      <c r="AQ12" s="12">
        <f>0</f>
        <v>0</v>
      </c>
      <c r="AR12" s="12">
        <f>0</f>
        <v>0</v>
      </c>
      <c r="AS12" s="12">
        <v>0</v>
      </c>
      <c r="AT12" s="12">
        <v>0</v>
      </c>
      <c r="AU12" s="12">
        <v>0</v>
      </c>
      <c r="AV12" s="12">
        <v>0</v>
      </c>
      <c r="AW12" s="12">
        <v>0</v>
      </c>
      <c r="AX12" s="12">
        <v>0</v>
      </c>
      <c r="AY12" s="12">
        <v>0</v>
      </c>
      <c r="AZ12" s="12">
        <v>0</v>
      </c>
      <c r="BA12" s="12">
        <v>0</v>
      </c>
      <c r="BB12" s="12">
        <v>0</v>
      </c>
      <c r="BC12" s="12">
        <v>0</v>
      </c>
      <c r="BD12" s="12">
        <v>0</v>
      </c>
      <c r="BE12" s="12">
        <v>0</v>
      </c>
      <c r="BF12" s="12">
        <v>0</v>
      </c>
      <c r="BG12" s="12">
        <v>0</v>
      </c>
      <c r="BH12" s="12">
        <v>0</v>
      </c>
      <c r="BI12" s="12">
        <v>0</v>
      </c>
      <c r="BJ12" s="12">
        <v>0</v>
      </c>
      <c r="BK12" s="12">
        <v>0</v>
      </c>
      <c r="BL12" s="12">
        <v>1901.761</v>
      </c>
      <c r="BM12" s="12">
        <v>1209.1379999999999</v>
      </c>
      <c r="BN12" s="12">
        <v>23.268750000000001</v>
      </c>
      <c r="BO12" s="12">
        <v>15.493130000000001</v>
      </c>
      <c r="BP12" s="12">
        <v>0</v>
      </c>
      <c r="BQ12" s="12">
        <v>0</v>
      </c>
      <c r="BR12" s="12">
        <v>0</v>
      </c>
      <c r="BS12" s="12">
        <v>0</v>
      </c>
      <c r="BT12" s="12">
        <v>0</v>
      </c>
      <c r="BU12" s="12">
        <v>0</v>
      </c>
      <c r="BV12" s="12">
        <v>0</v>
      </c>
      <c r="BW12" s="12">
        <v>0</v>
      </c>
      <c r="BX12" s="12">
        <v>0</v>
      </c>
      <c r="BY12" s="12">
        <v>0</v>
      </c>
      <c r="BZ12" s="12">
        <v>0</v>
      </c>
      <c r="CA12" s="12">
        <v>0</v>
      </c>
      <c r="CB12" s="12">
        <v>0</v>
      </c>
      <c r="CC12" s="12">
        <v>0</v>
      </c>
      <c r="CD12" s="12">
        <v>0</v>
      </c>
      <c r="CE12" s="12">
        <v>0</v>
      </c>
      <c r="CF12" s="12">
        <v>0</v>
      </c>
      <c r="CG12" s="12">
        <v>0</v>
      </c>
      <c r="CH12" s="11">
        <v>0</v>
      </c>
      <c r="CI12" s="11">
        <v>0</v>
      </c>
      <c r="CJ12" s="11">
        <v>0</v>
      </c>
      <c r="CK12" s="11">
        <v>0</v>
      </c>
      <c r="CL12" s="11">
        <v>0</v>
      </c>
      <c r="CM12" s="11">
        <v>0</v>
      </c>
      <c r="CN12" s="11">
        <v>0</v>
      </c>
      <c r="CO12" s="29">
        <v>0</v>
      </c>
      <c r="CP12" s="29">
        <v>0</v>
      </c>
      <c r="CQ12" s="29">
        <v>0</v>
      </c>
      <c r="CR12" s="29">
        <v>0</v>
      </c>
      <c r="CS12" s="11">
        <v>1</v>
      </c>
      <c r="CT12" s="30">
        <v>53.666666666666664</v>
      </c>
      <c r="CU12" s="30">
        <v>26</v>
      </c>
      <c r="CV12" s="12">
        <v>0</v>
      </c>
      <c r="CW12" s="12">
        <v>0</v>
      </c>
      <c r="CX12" s="11">
        <v>0</v>
      </c>
      <c r="CY12" s="11">
        <v>0</v>
      </c>
      <c r="CZ12" s="11">
        <v>0</v>
      </c>
      <c r="DA12" s="11">
        <v>0</v>
      </c>
      <c r="DB12" s="11">
        <v>0</v>
      </c>
      <c r="DC12" s="11">
        <v>0</v>
      </c>
      <c r="DD12" s="11">
        <v>0</v>
      </c>
      <c r="DG12" s="11">
        <v>128.81899999999999</v>
      </c>
      <c r="DH12" s="11">
        <v>598.71100000000001</v>
      </c>
      <c r="DI12" s="12">
        <v>108787.11285758173</v>
      </c>
      <c r="DJ12" s="12">
        <v>67454</v>
      </c>
      <c r="DK12" s="12">
        <v>29468</v>
      </c>
      <c r="DL12" s="12">
        <v>167997</v>
      </c>
      <c r="DM12" s="12">
        <v>271770</v>
      </c>
      <c r="DN12" s="12">
        <v>429850</v>
      </c>
      <c r="DO12" s="12">
        <v>417926</v>
      </c>
      <c r="DP12" s="12">
        <v>506928</v>
      </c>
      <c r="DQ12" s="12">
        <v>756819</v>
      </c>
      <c r="DR12" s="12">
        <v>1407165</v>
      </c>
      <c r="DS12" s="12">
        <v>1573810</v>
      </c>
      <c r="DT12" s="12">
        <v>1702298</v>
      </c>
      <c r="DU12" s="12">
        <v>2174062</v>
      </c>
      <c r="DV12" s="12">
        <v>2676919</v>
      </c>
      <c r="DW12" s="12">
        <v>3129383</v>
      </c>
      <c r="DX12" s="12">
        <v>3307084</v>
      </c>
      <c r="DY12" s="12">
        <v>3618303</v>
      </c>
      <c r="DZ12" s="12">
        <v>4027947</v>
      </c>
      <c r="EE12" s="11">
        <f t="shared" si="1"/>
        <v>1</v>
      </c>
      <c r="EF12" s="11">
        <v>0</v>
      </c>
      <c r="EG12" s="11">
        <v>0</v>
      </c>
      <c r="EH12" s="11">
        <v>0</v>
      </c>
      <c r="EI12" s="11">
        <v>1</v>
      </c>
      <c r="EJ12" s="11">
        <v>0</v>
      </c>
      <c r="EK12" s="11">
        <v>0</v>
      </c>
      <c r="EL12" s="11">
        <v>0</v>
      </c>
      <c r="EM12" s="11">
        <v>0</v>
      </c>
      <c r="EN12" s="11">
        <v>1</v>
      </c>
      <c r="EO12" s="11">
        <v>0</v>
      </c>
      <c r="EP12" s="11">
        <v>0</v>
      </c>
      <c r="EQ12" s="11">
        <v>0.31681034482758619</v>
      </c>
      <c r="ER12" s="11">
        <v>0.33879310344827585</v>
      </c>
      <c r="ES12" s="11">
        <v>0.17413793103448275</v>
      </c>
      <c r="ET12" s="11">
        <v>5.3017241379310347E-2</v>
      </c>
      <c r="EU12" s="11">
        <v>9.2724351618085841</v>
      </c>
      <c r="EV12" s="11">
        <v>2.8240160999999997</v>
      </c>
    </row>
    <row r="13" spans="1:152" x14ac:dyDescent="0.2">
      <c r="A13" s="11">
        <v>21</v>
      </c>
      <c r="B13" s="11">
        <v>11</v>
      </c>
      <c r="C13" s="13" t="s">
        <v>20</v>
      </c>
      <c r="D13" s="12">
        <v>52390</v>
      </c>
      <c r="E13" s="12">
        <v>85266.677320864037</v>
      </c>
      <c r="F13" s="12">
        <v>82118.634359486008</v>
      </c>
      <c r="G13" s="12">
        <v>83351</v>
      </c>
      <c r="H13" s="12">
        <v>99370</v>
      </c>
      <c r="I13" s="12">
        <v>108734</v>
      </c>
      <c r="J13" s="12">
        <v>113222</v>
      </c>
      <c r="K13" s="12">
        <v>108864</v>
      </c>
      <c r="L13" s="12">
        <v>112279</v>
      </c>
      <c r="M13" s="12">
        <v>110997</v>
      </c>
      <c r="N13" s="27">
        <v>2E-3</v>
      </c>
      <c r="O13" s="11">
        <f t="shared" si="0"/>
        <v>0</v>
      </c>
      <c r="P13" s="11">
        <v>1</v>
      </c>
      <c r="Q13" s="11">
        <v>0</v>
      </c>
      <c r="R13" s="11">
        <v>0</v>
      </c>
      <c r="S13" s="11">
        <v>1</v>
      </c>
      <c r="T13" s="11">
        <v>1</v>
      </c>
      <c r="U13" s="11">
        <v>0</v>
      </c>
      <c r="V13" s="11">
        <v>1</v>
      </c>
      <c r="W13" s="11">
        <v>0</v>
      </c>
      <c r="X13" s="11">
        <v>0</v>
      </c>
      <c r="Y13" s="11">
        <v>0</v>
      </c>
      <c r="Z13" s="11">
        <v>374</v>
      </c>
      <c r="AA13" s="11">
        <v>0</v>
      </c>
      <c r="AB13" s="11">
        <v>0</v>
      </c>
      <c r="AC13" s="28">
        <v>0</v>
      </c>
      <c r="AD13" s="28">
        <f>5+55/60</f>
        <v>5.916666666666667</v>
      </c>
      <c r="AE13" s="28"/>
      <c r="AF13" s="28"/>
      <c r="AG13" s="11">
        <v>0</v>
      </c>
      <c r="AH13" s="11">
        <v>226</v>
      </c>
      <c r="AK13" s="11">
        <v>0</v>
      </c>
      <c r="AL13" s="11">
        <v>231</v>
      </c>
      <c r="AO13" s="12">
        <f>0</f>
        <v>0</v>
      </c>
      <c r="AP13" s="12">
        <f>0</f>
        <v>0</v>
      </c>
      <c r="AQ13" s="12">
        <f>0</f>
        <v>0</v>
      </c>
      <c r="AR13" s="12">
        <f>0</f>
        <v>0</v>
      </c>
      <c r="AS13" s="12">
        <v>1</v>
      </c>
      <c r="AT13" s="12">
        <v>1</v>
      </c>
      <c r="AU13" s="12">
        <v>1</v>
      </c>
      <c r="AV13" s="12">
        <v>1</v>
      </c>
      <c r="AW13" s="12">
        <v>1</v>
      </c>
      <c r="AX13" s="12">
        <v>1</v>
      </c>
      <c r="AY13" s="12">
        <v>1</v>
      </c>
      <c r="AZ13" s="12">
        <v>1</v>
      </c>
      <c r="BA13" s="12">
        <v>1</v>
      </c>
      <c r="BB13" s="12">
        <v>1</v>
      </c>
      <c r="BC13" s="12">
        <v>1</v>
      </c>
      <c r="BD13" s="12">
        <v>1</v>
      </c>
      <c r="BE13" s="12">
        <v>1</v>
      </c>
      <c r="BF13" s="12">
        <v>1</v>
      </c>
      <c r="BG13" s="12">
        <v>1</v>
      </c>
      <c r="BH13" s="12">
        <v>1</v>
      </c>
      <c r="BI13" s="12">
        <v>1</v>
      </c>
      <c r="BJ13" s="12">
        <v>1</v>
      </c>
      <c r="BK13" s="12">
        <v>1</v>
      </c>
      <c r="BL13" s="12">
        <v>1621.6569999999999</v>
      </c>
      <c r="BM13" s="12">
        <v>949.86990000000003</v>
      </c>
      <c r="BN13" s="12">
        <v>20.28903</v>
      </c>
      <c r="BO13" s="12">
        <v>10.9625</v>
      </c>
      <c r="BP13" s="12">
        <v>3147</v>
      </c>
      <c r="BQ13" s="12">
        <v>4234</v>
      </c>
      <c r="BR13" s="12">
        <v>1</v>
      </c>
      <c r="BS13" s="12">
        <v>1</v>
      </c>
      <c r="BT13" s="12">
        <v>1657936</v>
      </c>
      <c r="BU13" s="12">
        <v>1438636</v>
      </c>
      <c r="BV13" s="12">
        <v>543</v>
      </c>
      <c r="BW13" s="12">
        <v>951504</v>
      </c>
      <c r="BX13" s="12">
        <v>559</v>
      </c>
      <c r="BY13" s="12">
        <v>1180943</v>
      </c>
      <c r="BZ13" s="12">
        <v>230</v>
      </c>
      <c r="CA13" s="12">
        <v>520121</v>
      </c>
      <c r="CB13" s="12">
        <v>417</v>
      </c>
      <c r="CC13" s="12">
        <v>1124489</v>
      </c>
      <c r="CD13" s="12">
        <v>511</v>
      </c>
      <c r="CE13" s="12">
        <v>1352431</v>
      </c>
      <c r="CF13" s="12">
        <v>224</v>
      </c>
      <c r="CG13" s="12">
        <v>1164000</v>
      </c>
      <c r="CH13" s="11">
        <v>1</v>
      </c>
      <c r="CI13" s="11">
        <v>1</v>
      </c>
      <c r="CJ13" s="11">
        <v>1</v>
      </c>
      <c r="CK13" s="11">
        <v>1</v>
      </c>
      <c r="CL13" s="11">
        <v>1</v>
      </c>
      <c r="CM13" s="11">
        <v>1</v>
      </c>
      <c r="CN13" s="11">
        <v>1</v>
      </c>
      <c r="CO13" s="29">
        <v>1</v>
      </c>
      <c r="CP13" s="29">
        <v>1</v>
      </c>
      <c r="CQ13" s="29">
        <v>1</v>
      </c>
      <c r="CR13" s="29">
        <v>1</v>
      </c>
      <c r="CS13" s="11">
        <v>1</v>
      </c>
      <c r="CT13" s="30">
        <v>45</v>
      </c>
      <c r="CU13" s="30">
        <v>9</v>
      </c>
      <c r="CV13" s="12">
        <v>0</v>
      </c>
      <c r="CW13" s="12">
        <v>0</v>
      </c>
      <c r="CX13" s="11">
        <v>0</v>
      </c>
      <c r="CY13" s="11">
        <v>0</v>
      </c>
      <c r="CZ13" s="11">
        <v>0</v>
      </c>
      <c r="DA13" s="11">
        <v>0</v>
      </c>
      <c r="DB13" s="11">
        <v>0</v>
      </c>
      <c r="DC13" s="11">
        <v>0</v>
      </c>
      <c r="DD13" s="11">
        <v>0</v>
      </c>
      <c r="DE13" s="11">
        <v>0</v>
      </c>
      <c r="DF13" s="11">
        <v>310.76499999999999</v>
      </c>
      <c r="DI13" s="12">
        <v>108787.11285758173</v>
      </c>
      <c r="DJ13" s="12">
        <v>67454</v>
      </c>
      <c r="DK13" s="12">
        <v>29468</v>
      </c>
      <c r="DL13" s="12">
        <v>167997</v>
      </c>
      <c r="DM13" s="12">
        <v>271770</v>
      </c>
      <c r="DN13" s="12">
        <v>429850</v>
      </c>
      <c r="DO13" s="12">
        <v>417926</v>
      </c>
      <c r="DP13" s="12">
        <v>506928</v>
      </c>
      <c r="DQ13" s="12">
        <v>756819</v>
      </c>
      <c r="DR13" s="12">
        <v>1407165</v>
      </c>
      <c r="DS13" s="12">
        <v>1573810</v>
      </c>
      <c r="DT13" s="12">
        <v>1702298</v>
      </c>
      <c r="DU13" s="12">
        <v>2174062</v>
      </c>
      <c r="DV13" s="12">
        <v>2676919</v>
      </c>
      <c r="DW13" s="12">
        <v>3129383</v>
      </c>
      <c r="DX13" s="12">
        <v>3307084</v>
      </c>
      <c r="DY13" s="12">
        <v>3618303</v>
      </c>
      <c r="DZ13" s="12">
        <v>4027947</v>
      </c>
      <c r="EC13" s="11">
        <v>229.66249999999999</v>
      </c>
      <c r="ED13" s="11">
        <v>0</v>
      </c>
      <c r="EE13" s="11">
        <f t="shared" si="1"/>
        <v>0</v>
      </c>
      <c r="EF13" s="11">
        <v>1</v>
      </c>
      <c r="EG13" s="11">
        <v>0</v>
      </c>
      <c r="EH13" s="11">
        <v>0</v>
      </c>
      <c r="EI13" s="11">
        <v>0</v>
      </c>
      <c r="EJ13" s="11">
        <v>1</v>
      </c>
      <c r="EK13" s="11">
        <v>0</v>
      </c>
      <c r="EL13" s="11">
        <v>0</v>
      </c>
      <c r="EM13" s="11">
        <v>0</v>
      </c>
      <c r="EN13" s="11">
        <v>0</v>
      </c>
      <c r="EO13" s="11">
        <v>0</v>
      </c>
      <c r="EP13" s="11">
        <v>0</v>
      </c>
      <c r="EQ13" s="11">
        <v>0.19463270826368417</v>
      </c>
      <c r="ER13" s="11">
        <v>0.38215360301492263</v>
      </c>
      <c r="ES13" s="11">
        <v>0.16448348174938454</v>
      </c>
      <c r="ET13" s="11">
        <v>0.17047077774063155</v>
      </c>
      <c r="EU13" s="11">
        <v>0.30603352181755539</v>
      </c>
      <c r="EV13" s="11">
        <v>2.8173912999999997</v>
      </c>
    </row>
    <row r="14" spans="1:152" x14ac:dyDescent="0.2">
      <c r="A14" s="11">
        <v>53</v>
      </c>
      <c r="B14" s="11">
        <v>12</v>
      </c>
      <c r="C14" s="13" t="s">
        <v>55</v>
      </c>
      <c r="D14" s="12">
        <v>0</v>
      </c>
      <c r="E14" s="12">
        <v>2079.6082851352021</v>
      </c>
      <c r="F14" s="12">
        <v>1937.7704285926147</v>
      </c>
      <c r="G14" s="12">
        <v>1855</v>
      </c>
      <c r="H14" s="12">
        <v>2192</v>
      </c>
      <c r="I14" s="12">
        <v>2319</v>
      </c>
      <c r="J14" s="12">
        <v>2334</v>
      </c>
      <c r="K14" s="14">
        <v>2288</v>
      </c>
      <c r="L14" s="12">
        <v>1850.9333333333332</v>
      </c>
      <c r="M14" s="12">
        <v>1677.8666666666666</v>
      </c>
      <c r="N14" s="27">
        <v>0.02</v>
      </c>
      <c r="O14" s="11">
        <f t="shared" si="0"/>
        <v>1</v>
      </c>
      <c r="P14" s="11">
        <v>0</v>
      </c>
      <c r="Q14" s="11">
        <v>0</v>
      </c>
      <c r="R14" s="11">
        <v>0</v>
      </c>
      <c r="S14" s="11">
        <v>1</v>
      </c>
      <c r="T14" s="11">
        <v>0</v>
      </c>
      <c r="U14" s="11">
        <v>1</v>
      </c>
      <c r="V14" s="11">
        <v>1</v>
      </c>
      <c r="W14" s="11">
        <v>1</v>
      </c>
      <c r="X14" s="11">
        <v>33</v>
      </c>
      <c r="Y14" s="11">
        <v>0</v>
      </c>
      <c r="Z14" s="11">
        <v>0</v>
      </c>
      <c r="AA14" s="11">
        <v>301</v>
      </c>
      <c r="AB14" s="11">
        <v>403</v>
      </c>
      <c r="AC14" s="28"/>
      <c r="AD14" s="28"/>
      <c r="AE14" s="28">
        <f>5+25/60</f>
        <v>5.416666666666667</v>
      </c>
      <c r="AF14" s="28">
        <f>8+5/60</f>
        <v>8.0833333333333339</v>
      </c>
      <c r="AI14" s="11">
        <v>198</v>
      </c>
      <c r="AJ14" s="11">
        <v>271</v>
      </c>
      <c r="AM14" s="11">
        <v>200</v>
      </c>
      <c r="AN14" s="11">
        <v>275</v>
      </c>
      <c r="AO14" s="12">
        <f>0</f>
        <v>0</v>
      </c>
      <c r="AP14" s="12">
        <f>0</f>
        <v>0</v>
      </c>
      <c r="AQ14" s="12">
        <f>0</f>
        <v>0</v>
      </c>
      <c r="AR14" s="12">
        <f>0</f>
        <v>0</v>
      </c>
      <c r="AS14" s="14">
        <v>0</v>
      </c>
      <c r="AT14" s="14">
        <v>0</v>
      </c>
      <c r="AU14" s="14">
        <v>0</v>
      </c>
      <c r="AV14" s="14">
        <v>0</v>
      </c>
      <c r="AW14" s="14">
        <v>0</v>
      </c>
      <c r="AX14" s="12">
        <v>0</v>
      </c>
      <c r="AY14" s="12">
        <v>0</v>
      </c>
      <c r="AZ14" s="12">
        <v>0</v>
      </c>
      <c r="BA14" s="12">
        <v>0</v>
      </c>
      <c r="BB14" s="12">
        <v>0</v>
      </c>
      <c r="BC14" s="12">
        <v>0</v>
      </c>
      <c r="BD14" s="12">
        <v>0</v>
      </c>
      <c r="BE14" s="12">
        <v>0</v>
      </c>
      <c r="BF14" s="12">
        <v>0</v>
      </c>
      <c r="BG14" s="12">
        <v>0</v>
      </c>
      <c r="BH14" s="12">
        <v>0</v>
      </c>
      <c r="BI14" s="12">
        <v>0</v>
      </c>
      <c r="BJ14" s="12">
        <v>0</v>
      </c>
      <c r="BK14" s="12">
        <v>0</v>
      </c>
      <c r="BL14" s="12">
        <v>1980.9380000000001</v>
      </c>
      <c r="BM14" s="12">
        <v>1612.6379999999999</v>
      </c>
      <c r="BN14" s="12">
        <v>20.652170000000002</v>
      </c>
      <c r="BO14" s="12">
        <v>12.588889999999999</v>
      </c>
      <c r="BP14" s="12">
        <v>0</v>
      </c>
      <c r="BQ14" s="12">
        <v>0</v>
      </c>
      <c r="BR14" s="12">
        <v>0</v>
      </c>
      <c r="BS14" s="12">
        <v>0</v>
      </c>
      <c r="BT14" s="12">
        <v>0</v>
      </c>
      <c r="BU14" s="12">
        <v>0</v>
      </c>
      <c r="BV14" s="12">
        <v>0</v>
      </c>
      <c r="BW14" s="12">
        <v>0</v>
      </c>
      <c r="BX14" s="12">
        <v>0</v>
      </c>
      <c r="BY14" s="12">
        <v>0</v>
      </c>
      <c r="BZ14" s="12">
        <v>0</v>
      </c>
      <c r="CA14" s="12">
        <v>0</v>
      </c>
      <c r="CB14" s="12">
        <v>0</v>
      </c>
      <c r="CC14" s="12">
        <v>0</v>
      </c>
      <c r="CD14" s="12">
        <v>0</v>
      </c>
      <c r="CE14" s="12">
        <v>0</v>
      </c>
      <c r="CF14" s="12">
        <v>0</v>
      </c>
      <c r="CG14" s="12">
        <v>0</v>
      </c>
      <c r="CH14" s="11">
        <v>0</v>
      </c>
      <c r="CI14" s="11">
        <v>0</v>
      </c>
      <c r="CJ14" s="11">
        <v>0</v>
      </c>
      <c r="CK14" s="11">
        <v>0</v>
      </c>
      <c r="CL14" s="11">
        <v>0</v>
      </c>
      <c r="CM14" s="11">
        <v>0</v>
      </c>
      <c r="CN14" s="11">
        <v>0</v>
      </c>
      <c r="CO14" s="29">
        <v>0</v>
      </c>
      <c r="CP14" s="29">
        <v>0</v>
      </c>
      <c r="CQ14" s="29">
        <v>0</v>
      </c>
      <c r="CR14" s="29">
        <v>0</v>
      </c>
      <c r="CS14" s="11">
        <v>1</v>
      </c>
      <c r="CT14" s="30">
        <v>24</v>
      </c>
      <c r="CU14" s="30">
        <v>70</v>
      </c>
      <c r="CV14" s="12">
        <v>0</v>
      </c>
      <c r="CW14" s="12">
        <v>0</v>
      </c>
      <c r="CX14" s="11">
        <v>0</v>
      </c>
      <c r="CY14" s="11">
        <v>0</v>
      </c>
      <c r="CZ14" s="11">
        <v>0</v>
      </c>
      <c r="DA14" s="11">
        <v>0</v>
      </c>
      <c r="DB14" s="11">
        <v>0</v>
      </c>
      <c r="DC14" s="11">
        <v>0</v>
      </c>
      <c r="DD14" s="11">
        <v>0</v>
      </c>
      <c r="DG14" s="11">
        <v>289.471</v>
      </c>
      <c r="DH14" s="11">
        <v>210.036</v>
      </c>
      <c r="DI14" s="12">
        <v>108787.11285758173</v>
      </c>
      <c r="DJ14" s="12">
        <v>67454</v>
      </c>
      <c r="DK14" s="12">
        <v>29468</v>
      </c>
      <c r="DL14" s="12">
        <v>167997</v>
      </c>
      <c r="DM14" s="12">
        <v>271770</v>
      </c>
      <c r="DN14" s="12">
        <v>429850</v>
      </c>
      <c r="DO14" s="12">
        <v>417926</v>
      </c>
      <c r="DP14" s="12">
        <v>506928</v>
      </c>
      <c r="DQ14" s="12">
        <v>756819</v>
      </c>
      <c r="DR14" s="12">
        <v>1407165</v>
      </c>
      <c r="DS14" s="12">
        <v>1573810</v>
      </c>
      <c r="DT14" s="12">
        <v>1702298</v>
      </c>
      <c r="DU14" s="12">
        <v>2174062</v>
      </c>
      <c r="DV14" s="12">
        <v>2676919</v>
      </c>
      <c r="DW14" s="12">
        <v>3129383</v>
      </c>
      <c r="DX14" s="12">
        <v>3307084</v>
      </c>
      <c r="DY14" s="12">
        <v>3618303</v>
      </c>
      <c r="DZ14" s="12">
        <v>4027947</v>
      </c>
      <c r="EA14" s="11">
        <v>406.63749999999999</v>
      </c>
      <c r="EB14" s="11">
        <v>216.5</v>
      </c>
      <c r="EE14" s="11">
        <f t="shared" si="1"/>
        <v>0</v>
      </c>
      <c r="EF14" s="11">
        <v>0</v>
      </c>
      <c r="EG14" s="11">
        <v>1</v>
      </c>
      <c r="EH14" s="11">
        <v>0</v>
      </c>
      <c r="EI14" s="11">
        <v>0</v>
      </c>
      <c r="EJ14" s="11">
        <v>0</v>
      </c>
      <c r="EK14" s="11">
        <v>0</v>
      </c>
      <c r="EL14" s="11">
        <v>1</v>
      </c>
      <c r="EM14" s="11">
        <v>0</v>
      </c>
      <c r="EN14" s="11">
        <v>0</v>
      </c>
      <c r="EO14" s="11">
        <v>0</v>
      </c>
      <c r="EP14" s="11">
        <v>0</v>
      </c>
      <c r="EQ14" s="11">
        <v>0.34374535177748028</v>
      </c>
      <c r="ER14" s="11">
        <v>0.31533541573702217</v>
      </c>
      <c r="ES14" s="11">
        <v>0.14874312063067083</v>
      </c>
      <c r="ET14" s="11">
        <v>5.176260597947345E-2</v>
      </c>
      <c r="EU14" s="11">
        <v>15.922010004547522</v>
      </c>
      <c r="EV14" s="11">
        <v>3.0185785000000003</v>
      </c>
    </row>
    <row r="15" spans="1:152" x14ac:dyDescent="0.2">
      <c r="A15" s="11">
        <v>28</v>
      </c>
      <c r="B15" s="11">
        <v>13</v>
      </c>
      <c r="C15" s="13" t="s">
        <v>27</v>
      </c>
      <c r="D15" s="12">
        <v>2298</v>
      </c>
      <c r="E15" s="12">
        <v>4532.7980071178126</v>
      </c>
      <c r="F15" s="12">
        <v>4843.6427741629986</v>
      </c>
      <c r="G15" s="12">
        <v>5284.1533509409046</v>
      </c>
      <c r="H15" s="12">
        <v>7168.1056454275331</v>
      </c>
      <c r="I15" s="12">
        <v>9542.3293166061394</v>
      </c>
      <c r="J15" s="12">
        <v>11509.754539451964</v>
      </c>
      <c r="K15" s="14">
        <v>12802</v>
      </c>
      <c r="L15" s="12">
        <v>13758.165975103735</v>
      </c>
      <c r="M15" s="12">
        <v>13389.448376861119</v>
      </c>
      <c r="N15" s="27">
        <v>7.0000000000000001E-3</v>
      </c>
      <c r="O15" s="11">
        <f t="shared" si="0"/>
        <v>0</v>
      </c>
      <c r="P15" s="11">
        <v>0</v>
      </c>
      <c r="Q15" s="11">
        <v>0</v>
      </c>
      <c r="R15" s="11">
        <v>0</v>
      </c>
      <c r="S15" s="11">
        <v>1</v>
      </c>
      <c r="T15" s="11">
        <v>0</v>
      </c>
      <c r="U15" s="11">
        <v>1</v>
      </c>
      <c r="V15" s="11">
        <v>1</v>
      </c>
      <c r="W15" s="11">
        <v>1</v>
      </c>
      <c r="X15" s="11">
        <v>42</v>
      </c>
      <c r="Y15" s="11">
        <v>0</v>
      </c>
      <c r="Z15" s="11">
        <v>0</v>
      </c>
      <c r="AA15" s="11">
        <v>160</v>
      </c>
      <c r="AB15" s="11">
        <v>503</v>
      </c>
      <c r="AC15" s="28"/>
      <c r="AD15" s="28"/>
      <c r="AE15" s="28">
        <f>3</f>
        <v>3</v>
      </c>
      <c r="AF15" s="28">
        <f>9+10/60</f>
        <v>9.1666666666666661</v>
      </c>
      <c r="AI15" s="11">
        <v>107</v>
      </c>
      <c r="AJ15" s="11">
        <v>332</v>
      </c>
      <c r="AM15" s="11">
        <v>113</v>
      </c>
      <c r="AN15" s="11">
        <v>333</v>
      </c>
      <c r="AO15" s="12">
        <f>0</f>
        <v>0</v>
      </c>
      <c r="AP15" s="12">
        <f>0</f>
        <v>0</v>
      </c>
      <c r="AQ15" s="12">
        <f>0</f>
        <v>0</v>
      </c>
      <c r="AR15" s="12">
        <f>0</f>
        <v>0</v>
      </c>
      <c r="AS15" s="12">
        <v>0</v>
      </c>
      <c r="AT15" s="12">
        <v>0</v>
      </c>
      <c r="AU15" s="14">
        <v>0</v>
      </c>
      <c r="AV15" s="12">
        <v>0</v>
      </c>
      <c r="AW15" s="12">
        <v>0</v>
      </c>
      <c r="AX15" s="12">
        <v>0</v>
      </c>
      <c r="AY15" s="12">
        <v>0</v>
      </c>
      <c r="AZ15" s="12">
        <v>0</v>
      </c>
      <c r="BA15" s="12">
        <v>0</v>
      </c>
      <c r="BB15" s="12">
        <v>0</v>
      </c>
      <c r="BC15" s="12">
        <v>0</v>
      </c>
      <c r="BD15" s="12">
        <v>0</v>
      </c>
      <c r="BE15" s="12">
        <v>0</v>
      </c>
      <c r="BF15" s="12">
        <v>0</v>
      </c>
      <c r="BG15" s="12">
        <v>0</v>
      </c>
      <c r="BH15" s="12">
        <v>0</v>
      </c>
      <c r="BI15" s="12">
        <v>0</v>
      </c>
      <c r="BJ15" s="12">
        <v>0</v>
      </c>
      <c r="BK15" s="12">
        <v>0</v>
      </c>
      <c r="BL15" s="12">
        <v>1779.7</v>
      </c>
      <c r="BM15" s="12">
        <v>955.4914</v>
      </c>
      <c r="BN15" s="12">
        <v>21.38636</v>
      </c>
      <c r="BO15" s="12">
        <v>13.04914</v>
      </c>
      <c r="BP15" s="12">
        <v>0</v>
      </c>
      <c r="BQ15" s="12">
        <v>0</v>
      </c>
      <c r="BR15" s="12">
        <v>0</v>
      </c>
      <c r="BS15" s="12">
        <v>0</v>
      </c>
      <c r="BT15" s="12">
        <v>0</v>
      </c>
      <c r="BU15" s="12">
        <v>0</v>
      </c>
      <c r="BV15" s="12">
        <v>0</v>
      </c>
      <c r="BW15" s="12">
        <v>0</v>
      </c>
      <c r="BX15" s="12">
        <v>0</v>
      </c>
      <c r="BY15" s="12">
        <v>0</v>
      </c>
      <c r="BZ15" s="12">
        <v>0</v>
      </c>
      <c r="CA15" s="12">
        <v>0</v>
      </c>
      <c r="CB15" s="12">
        <v>0</v>
      </c>
      <c r="CC15" s="12">
        <v>0</v>
      </c>
      <c r="CD15" s="12">
        <v>0</v>
      </c>
      <c r="CE15" s="12">
        <v>0</v>
      </c>
      <c r="CF15" s="12">
        <v>0</v>
      </c>
      <c r="CG15" s="12">
        <v>0</v>
      </c>
      <c r="CH15" s="11">
        <v>0</v>
      </c>
      <c r="CI15" s="11">
        <v>0</v>
      </c>
      <c r="CJ15" s="11">
        <v>0</v>
      </c>
      <c r="CK15" s="11">
        <v>0</v>
      </c>
      <c r="CL15" s="11">
        <v>0</v>
      </c>
      <c r="CM15" s="11">
        <v>0</v>
      </c>
      <c r="CN15" s="11">
        <v>0</v>
      </c>
      <c r="CO15" s="29">
        <v>0</v>
      </c>
      <c r="CP15" s="29">
        <v>0</v>
      </c>
      <c r="CQ15" s="29">
        <v>0</v>
      </c>
      <c r="CR15" s="29">
        <v>0</v>
      </c>
      <c r="CS15" s="11">
        <v>1</v>
      </c>
      <c r="CT15" s="30">
        <v>42</v>
      </c>
      <c r="CU15" s="30">
        <v>45.666666666666664</v>
      </c>
      <c r="CV15" s="12">
        <v>0</v>
      </c>
      <c r="CW15" s="12">
        <v>0</v>
      </c>
      <c r="CX15" s="11">
        <v>0</v>
      </c>
      <c r="CY15" s="11">
        <v>0</v>
      </c>
      <c r="CZ15" s="11">
        <v>0</v>
      </c>
      <c r="DA15" s="11">
        <v>0</v>
      </c>
      <c r="DB15" s="11">
        <v>0</v>
      </c>
      <c r="DC15" s="11">
        <v>0</v>
      </c>
      <c r="DD15" s="11">
        <v>1</v>
      </c>
      <c r="DG15" s="11">
        <v>381.351</v>
      </c>
      <c r="DH15" s="11">
        <v>135.46100000000001</v>
      </c>
      <c r="DI15" s="12">
        <v>108787.11285758173</v>
      </c>
      <c r="DJ15" s="12">
        <v>67454</v>
      </c>
      <c r="DK15" s="12">
        <v>29468</v>
      </c>
      <c r="DL15" s="12">
        <v>167997</v>
      </c>
      <c r="DM15" s="12">
        <v>271770</v>
      </c>
      <c r="DN15" s="12">
        <v>429850</v>
      </c>
      <c r="DO15" s="12">
        <v>417926</v>
      </c>
      <c r="DP15" s="12">
        <v>506928</v>
      </c>
      <c r="DQ15" s="12">
        <v>756819</v>
      </c>
      <c r="DR15" s="12">
        <v>1407165</v>
      </c>
      <c r="DS15" s="12">
        <v>1573810</v>
      </c>
      <c r="DT15" s="12">
        <v>1702298</v>
      </c>
      <c r="DU15" s="12">
        <v>2174062</v>
      </c>
      <c r="DV15" s="12">
        <v>2676919</v>
      </c>
      <c r="DW15" s="12">
        <v>3129383</v>
      </c>
      <c r="DX15" s="12">
        <v>3307084</v>
      </c>
      <c r="DY15" s="12">
        <v>3618303</v>
      </c>
      <c r="DZ15" s="12">
        <v>4027947</v>
      </c>
      <c r="EA15" s="11">
        <v>328.02499999999998</v>
      </c>
      <c r="EB15" s="11">
        <v>100.6875</v>
      </c>
      <c r="EE15" s="11">
        <f t="shared" si="1"/>
        <v>0</v>
      </c>
      <c r="EF15" s="11">
        <v>1</v>
      </c>
      <c r="EG15" s="11">
        <v>0</v>
      </c>
      <c r="EH15" s="11">
        <v>0</v>
      </c>
      <c r="EI15" s="11">
        <v>0</v>
      </c>
      <c r="EJ15" s="11">
        <v>0</v>
      </c>
      <c r="EK15" s="11">
        <v>0</v>
      </c>
      <c r="EL15" s="11">
        <v>0</v>
      </c>
      <c r="EM15" s="11">
        <v>0</v>
      </c>
      <c r="EN15" s="11">
        <v>0</v>
      </c>
      <c r="EO15" s="11">
        <v>1</v>
      </c>
      <c r="EP15" s="11">
        <v>0</v>
      </c>
      <c r="EQ15" s="11">
        <v>0.28778268063982348</v>
      </c>
      <c r="ER15" s="11">
        <v>0.35162713734142304</v>
      </c>
      <c r="ES15" s="11">
        <v>0.18615554329840045</v>
      </c>
      <c r="ET15" s="11">
        <v>9.0595697738554887E-2</v>
      </c>
      <c r="EU15" s="11">
        <v>9.414196123147093</v>
      </c>
      <c r="EV15" s="11">
        <v>3.4092304999999996</v>
      </c>
    </row>
    <row r="16" spans="1:152" x14ac:dyDescent="0.2">
      <c r="A16" s="11">
        <v>55</v>
      </c>
      <c r="B16" s="11">
        <v>14</v>
      </c>
      <c r="C16" s="11" t="s">
        <v>57</v>
      </c>
      <c r="D16" s="12">
        <v>1211</v>
      </c>
      <c r="E16" s="12">
        <v>1708.7085748034403</v>
      </c>
      <c r="F16" s="12">
        <v>1617.0266878299067</v>
      </c>
      <c r="G16" s="12">
        <v>1651</v>
      </c>
      <c r="H16" s="12">
        <v>2525</v>
      </c>
      <c r="I16" s="12">
        <v>2819</v>
      </c>
      <c r="J16" s="12">
        <v>2789</v>
      </c>
      <c r="K16" s="14">
        <v>2729</v>
      </c>
      <c r="L16" s="12">
        <v>2662.7328918322296</v>
      </c>
      <c r="M16" s="12">
        <v>2463.9315673289184</v>
      </c>
      <c r="N16" s="27">
        <v>7.0000000000000001E-3</v>
      </c>
      <c r="O16" s="11">
        <f t="shared" si="0"/>
        <v>0</v>
      </c>
      <c r="P16" s="11">
        <v>0</v>
      </c>
      <c r="Q16" s="11">
        <v>0</v>
      </c>
      <c r="R16" s="11">
        <v>0</v>
      </c>
      <c r="S16" s="11">
        <v>1</v>
      </c>
      <c r="T16" s="11">
        <v>0</v>
      </c>
      <c r="U16" s="11">
        <v>1</v>
      </c>
      <c r="V16" s="11">
        <v>0</v>
      </c>
      <c r="W16" s="11">
        <v>0</v>
      </c>
      <c r="X16" s="11">
        <v>51</v>
      </c>
      <c r="Y16" s="11">
        <v>0</v>
      </c>
      <c r="Z16" s="11">
        <v>0</v>
      </c>
      <c r="AA16" s="11">
        <v>111</v>
      </c>
      <c r="AB16" s="11">
        <v>536</v>
      </c>
      <c r="AC16" s="28"/>
      <c r="AD16" s="28"/>
      <c r="AE16" s="28">
        <f>2</f>
        <v>2</v>
      </c>
      <c r="AF16" s="28">
        <f>8+35/60</f>
        <v>8.5833333333333339</v>
      </c>
      <c r="AI16" s="11">
        <v>74</v>
      </c>
      <c r="AJ16" s="11">
        <v>352</v>
      </c>
      <c r="AM16" s="11">
        <v>76</v>
      </c>
      <c r="AN16" s="11">
        <v>357</v>
      </c>
      <c r="AO16" s="12">
        <f>0</f>
        <v>0</v>
      </c>
      <c r="AP16" s="12">
        <f>0</f>
        <v>0</v>
      </c>
      <c r="AQ16" s="12">
        <f>0</f>
        <v>0</v>
      </c>
      <c r="AR16" s="12">
        <f>0</f>
        <v>0</v>
      </c>
      <c r="AS16" s="14">
        <v>0</v>
      </c>
      <c r="AT16" s="14">
        <v>0</v>
      </c>
      <c r="AU16" s="14">
        <v>0</v>
      </c>
      <c r="AV16" s="14">
        <v>0</v>
      </c>
      <c r="AW16" s="14">
        <v>0</v>
      </c>
      <c r="AX16" s="12">
        <v>0</v>
      </c>
      <c r="AY16" s="12">
        <v>0</v>
      </c>
      <c r="AZ16" s="12">
        <v>0</v>
      </c>
      <c r="BA16" s="12">
        <v>0</v>
      </c>
      <c r="BB16" s="12">
        <v>0</v>
      </c>
      <c r="BC16" s="12">
        <v>0</v>
      </c>
      <c r="BD16" s="12">
        <v>0</v>
      </c>
      <c r="BE16" s="12">
        <v>0</v>
      </c>
      <c r="BF16" s="12">
        <v>0</v>
      </c>
      <c r="BG16" s="12">
        <v>0</v>
      </c>
      <c r="BH16" s="12">
        <v>0</v>
      </c>
      <c r="BI16" s="12">
        <v>0</v>
      </c>
      <c r="BJ16" s="12">
        <v>0</v>
      </c>
      <c r="BK16" s="12">
        <v>0</v>
      </c>
      <c r="BL16" s="12">
        <v>2037.33</v>
      </c>
      <c r="BM16" s="12">
        <v>855.62270000000001</v>
      </c>
      <c r="BN16" s="12">
        <v>22.477779999999999</v>
      </c>
      <c r="BO16" s="12">
        <v>18.094740000000002</v>
      </c>
      <c r="BP16" s="12">
        <v>0</v>
      </c>
      <c r="BQ16" s="12">
        <v>0</v>
      </c>
      <c r="BR16" s="12">
        <v>0</v>
      </c>
      <c r="BS16" s="12">
        <v>0</v>
      </c>
      <c r="BT16" s="12">
        <v>0</v>
      </c>
      <c r="BU16" s="12">
        <v>36923</v>
      </c>
      <c r="BV16" s="12">
        <v>70</v>
      </c>
      <c r="BW16" s="12">
        <v>8724</v>
      </c>
      <c r="BX16" s="12">
        <v>81</v>
      </c>
      <c r="BY16" s="12">
        <v>6485</v>
      </c>
      <c r="BZ16" s="12">
        <v>0</v>
      </c>
      <c r="CA16" s="12">
        <v>0</v>
      </c>
      <c r="CB16" s="12">
        <v>0</v>
      </c>
      <c r="CC16" s="12">
        <v>0</v>
      </c>
      <c r="CD16" s="12">
        <v>0</v>
      </c>
      <c r="CE16" s="12">
        <v>0</v>
      </c>
      <c r="CF16" s="12">
        <v>0</v>
      </c>
      <c r="CG16" s="12">
        <v>0</v>
      </c>
      <c r="CH16" s="11">
        <v>0</v>
      </c>
      <c r="CI16" s="11">
        <v>1</v>
      </c>
      <c r="CJ16" s="11">
        <v>1</v>
      </c>
      <c r="CK16" s="11">
        <v>1</v>
      </c>
      <c r="CL16" s="11">
        <v>0</v>
      </c>
      <c r="CM16" s="11">
        <v>0</v>
      </c>
      <c r="CN16" s="11">
        <v>0</v>
      </c>
      <c r="CO16" s="29">
        <v>0</v>
      </c>
      <c r="CP16" s="29">
        <v>0</v>
      </c>
      <c r="CQ16" s="29">
        <v>0</v>
      </c>
      <c r="CR16" s="29">
        <v>0</v>
      </c>
      <c r="CS16" s="11">
        <v>1</v>
      </c>
      <c r="CT16" s="30">
        <v>44.666666666666664</v>
      </c>
      <c r="CU16" s="30">
        <v>41.666666666666664</v>
      </c>
      <c r="CV16" s="12">
        <v>0</v>
      </c>
      <c r="CW16" s="12">
        <v>0</v>
      </c>
      <c r="CX16" s="11">
        <v>0</v>
      </c>
      <c r="CY16" s="11">
        <v>0</v>
      </c>
      <c r="CZ16" s="11">
        <v>0</v>
      </c>
      <c r="DA16" s="11">
        <v>0</v>
      </c>
      <c r="DB16" s="11">
        <v>0</v>
      </c>
      <c r="DC16" s="11">
        <v>0</v>
      </c>
      <c r="DD16" s="11">
        <v>0</v>
      </c>
      <c r="DG16" s="11">
        <v>404.86099999999999</v>
      </c>
      <c r="DH16" s="11">
        <v>100.075</v>
      </c>
      <c r="DI16" s="12">
        <v>108787.11285758173</v>
      </c>
      <c r="DJ16" s="12">
        <v>67454</v>
      </c>
      <c r="DK16" s="12">
        <v>29468</v>
      </c>
      <c r="DL16" s="12">
        <v>167997</v>
      </c>
      <c r="DM16" s="12">
        <v>271770</v>
      </c>
      <c r="DN16" s="12">
        <v>429850</v>
      </c>
      <c r="DO16" s="12">
        <v>417926</v>
      </c>
      <c r="DP16" s="12">
        <v>506928</v>
      </c>
      <c r="DQ16" s="12">
        <v>756819</v>
      </c>
      <c r="DR16" s="12">
        <v>1407165</v>
      </c>
      <c r="DS16" s="12">
        <v>1573810</v>
      </c>
      <c r="DT16" s="12">
        <v>1702298</v>
      </c>
      <c r="DU16" s="12">
        <v>2174062</v>
      </c>
      <c r="DV16" s="12">
        <v>2676919</v>
      </c>
      <c r="DW16" s="12">
        <v>3129383</v>
      </c>
      <c r="DX16" s="12">
        <v>3307084</v>
      </c>
      <c r="DY16" s="12">
        <v>3618303</v>
      </c>
      <c r="DZ16" s="12">
        <v>4027947</v>
      </c>
      <c r="EA16" s="11">
        <v>343.71249999999998</v>
      </c>
      <c r="EB16" s="11">
        <v>102.7625</v>
      </c>
      <c r="EE16" s="11">
        <f t="shared" si="1"/>
        <v>0</v>
      </c>
      <c r="EF16" s="11">
        <v>1</v>
      </c>
      <c r="EG16" s="11">
        <v>0</v>
      </c>
      <c r="EH16" s="11">
        <v>0</v>
      </c>
      <c r="EI16" s="11">
        <v>0</v>
      </c>
      <c r="EJ16" s="11">
        <v>0</v>
      </c>
      <c r="EK16" s="11">
        <v>0</v>
      </c>
      <c r="EL16" s="11">
        <v>0</v>
      </c>
      <c r="EM16" s="11">
        <v>0</v>
      </c>
      <c r="EN16" s="11">
        <v>0</v>
      </c>
      <c r="EO16" s="11">
        <v>1</v>
      </c>
      <c r="EP16" s="11">
        <v>0</v>
      </c>
      <c r="EQ16" s="11">
        <v>0.35267857142857145</v>
      </c>
      <c r="ER16" s="11">
        <v>0.30739795918367346</v>
      </c>
      <c r="ES16" s="11">
        <v>0.16594387755102041</v>
      </c>
      <c r="ET16" s="11">
        <v>5.7525510204081635E-2</v>
      </c>
      <c r="EU16" s="11">
        <v>9.414196123147093</v>
      </c>
      <c r="EV16" s="11">
        <v>3.2189909999999999</v>
      </c>
    </row>
    <row r="17" spans="1:152" x14ac:dyDescent="0.2">
      <c r="A17" s="11">
        <v>8</v>
      </c>
      <c r="B17" s="11">
        <v>15</v>
      </c>
      <c r="C17" s="11" t="s">
        <v>7</v>
      </c>
      <c r="D17" s="12">
        <v>2737</v>
      </c>
      <c r="E17" s="12">
        <v>15637.803736577494</v>
      </c>
      <c r="F17" s="12">
        <v>16745.753832785053</v>
      </c>
      <c r="G17" s="12">
        <v>16984</v>
      </c>
      <c r="H17" s="12">
        <v>22622</v>
      </c>
      <c r="I17" s="12">
        <v>27804</v>
      </c>
      <c r="J17" s="12">
        <v>31790</v>
      </c>
      <c r="K17" s="12">
        <v>32238</v>
      </c>
      <c r="L17" s="12">
        <v>32653</v>
      </c>
      <c r="M17" s="12">
        <v>32529</v>
      </c>
      <c r="N17" s="27">
        <v>5.0999999999999997E-2</v>
      </c>
      <c r="O17" s="11">
        <f t="shared" si="0"/>
        <v>0</v>
      </c>
      <c r="P17" s="11">
        <v>1</v>
      </c>
      <c r="Q17" s="11">
        <v>0</v>
      </c>
      <c r="R17" s="11">
        <v>0</v>
      </c>
      <c r="S17" s="11">
        <v>0</v>
      </c>
      <c r="T17" s="11">
        <v>1</v>
      </c>
      <c r="U17" s="11">
        <v>1</v>
      </c>
      <c r="V17" s="11">
        <v>1</v>
      </c>
      <c r="W17" s="11">
        <v>1</v>
      </c>
      <c r="X17" s="11">
        <v>0</v>
      </c>
      <c r="Y17" s="11">
        <v>0</v>
      </c>
      <c r="Z17" s="11">
        <v>0</v>
      </c>
      <c r="AA17" s="11">
        <v>534</v>
      </c>
      <c r="AB17" s="11">
        <v>496</v>
      </c>
      <c r="AC17" s="28"/>
      <c r="AD17" s="28"/>
      <c r="AE17" s="28">
        <f>10+30/60</f>
        <v>10.5</v>
      </c>
      <c r="AF17" s="28">
        <f>9+40/60</f>
        <v>9.6666666666666661</v>
      </c>
      <c r="AI17" s="11">
        <v>357</v>
      </c>
      <c r="AJ17" s="11">
        <v>333</v>
      </c>
      <c r="AM17" s="11">
        <v>360</v>
      </c>
      <c r="AN17" s="11">
        <v>340</v>
      </c>
      <c r="AO17" s="12">
        <f>0</f>
        <v>0</v>
      </c>
      <c r="AP17" s="12">
        <f>0</f>
        <v>0</v>
      </c>
      <c r="AQ17" s="12">
        <f>0</f>
        <v>0</v>
      </c>
      <c r="AR17" s="12">
        <f>0</f>
        <v>0</v>
      </c>
      <c r="AS17" s="12">
        <v>0</v>
      </c>
      <c r="AT17" s="12">
        <v>0</v>
      </c>
      <c r="AU17" s="12">
        <v>1</v>
      </c>
      <c r="AV17" s="12">
        <v>1</v>
      </c>
      <c r="AW17" s="12">
        <v>1</v>
      </c>
      <c r="AX17" s="12">
        <v>0</v>
      </c>
      <c r="AY17" s="12">
        <v>0</v>
      </c>
      <c r="AZ17" s="12">
        <v>0</v>
      </c>
      <c r="BA17" s="12">
        <v>0</v>
      </c>
      <c r="BB17" s="12">
        <v>0</v>
      </c>
      <c r="BC17" s="12">
        <v>0</v>
      </c>
      <c r="BD17" s="12">
        <v>0</v>
      </c>
      <c r="BE17" s="12">
        <v>0</v>
      </c>
      <c r="BF17" s="12">
        <v>0</v>
      </c>
      <c r="BG17" s="12">
        <v>1</v>
      </c>
      <c r="BH17" s="12">
        <v>1</v>
      </c>
      <c r="BI17" s="12">
        <v>1</v>
      </c>
      <c r="BJ17" s="12">
        <v>1</v>
      </c>
      <c r="BK17" s="12">
        <v>1</v>
      </c>
      <c r="BL17" s="12">
        <v>2193.712</v>
      </c>
      <c r="BM17" s="12">
        <v>1060.7139999999999</v>
      </c>
      <c r="BN17" s="12">
        <v>24.030609999999999</v>
      </c>
      <c r="BO17" s="12">
        <v>14.42778</v>
      </c>
      <c r="BP17" s="12">
        <v>0</v>
      </c>
      <c r="BQ17" s="12">
        <v>0</v>
      </c>
      <c r="BR17" s="12">
        <v>0</v>
      </c>
      <c r="BS17" s="12">
        <v>0</v>
      </c>
      <c r="BT17" s="12">
        <v>1232259</v>
      </c>
      <c r="BU17" s="12">
        <v>1045513</v>
      </c>
      <c r="BV17" s="12">
        <v>592</v>
      </c>
      <c r="BW17" s="12">
        <v>326506</v>
      </c>
      <c r="BX17" s="12">
        <v>328</v>
      </c>
      <c r="BY17" s="12">
        <v>282117</v>
      </c>
      <c r="BZ17" s="12">
        <v>135</v>
      </c>
      <c r="CA17" s="12">
        <v>50941</v>
      </c>
      <c r="CB17" s="12">
        <v>150</v>
      </c>
      <c r="CC17" s="12">
        <v>188495</v>
      </c>
      <c r="CD17" s="12">
        <v>182</v>
      </c>
      <c r="CE17" s="12">
        <v>138366</v>
      </c>
      <c r="CF17" s="12">
        <v>20</v>
      </c>
      <c r="CG17" s="12">
        <v>116000</v>
      </c>
      <c r="CH17" s="11">
        <v>1</v>
      </c>
      <c r="CI17" s="11">
        <v>1</v>
      </c>
      <c r="CJ17" s="11">
        <v>1</v>
      </c>
      <c r="CK17" s="11">
        <v>1</v>
      </c>
      <c r="CL17" s="11">
        <v>1</v>
      </c>
      <c r="CM17" s="11">
        <v>1</v>
      </c>
      <c r="CN17" s="11">
        <v>1</v>
      </c>
      <c r="CO17" s="29">
        <v>1</v>
      </c>
      <c r="CP17" s="29">
        <v>1</v>
      </c>
      <c r="CQ17" s="29">
        <v>1</v>
      </c>
      <c r="CR17" s="29">
        <v>1</v>
      </c>
      <c r="CS17" s="11">
        <v>1</v>
      </c>
      <c r="CT17" s="30">
        <v>37.666666666666664</v>
      </c>
      <c r="CU17" s="30">
        <v>43.666666666666664</v>
      </c>
      <c r="CV17" s="12">
        <v>0</v>
      </c>
      <c r="CW17" s="12">
        <v>0</v>
      </c>
      <c r="CX17" s="11">
        <v>0</v>
      </c>
      <c r="CY17" s="11">
        <v>0</v>
      </c>
      <c r="CZ17" s="11">
        <v>0</v>
      </c>
      <c r="DA17" s="11">
        <v>0</v>
      </c>
      <c r="DB17" s="11">
        <v>0</v>
      </c>
      <c r="DC17" s="11">
        <v>0</v>
      </c>
      <c r="DD17" s="11">
        <v>0</v>
      </c>
      <c r="DG17" s="11">
        <v>350.35399999999998</v>
      </c>
      <c r="DH17" s="11">
        <v>401.89400000000001</v>
      </c>
      <c r="DI17" s="12">
        <v>108787.11285758173</v>
      </c>
      <c r="DJ17" s="12">
        <v>67454</v>
      </c>
      <c r="DK17" s="12">
        <v>29468</v>
      </c>
      <c r="DL17" s="12">
        <v>167997</v>
      </c>
      <c r="DM17" s="12">
        <v>271770</v>
      </c>
      <c r="DN17" s="12">
        <v>429850</v>
      </c>
      <c r="DO17" s="12">
        <v>417926</v>
      </c>
      <c r="DP17" s="12">
        <v>506928</v>
      </c>
      <c r="DQ17" s="12">
        <v>756819</v>
      </c>
      <c r="DR17" s="12">
        <v>1407165</v>
      </c>
      <c r="DS17" s="12">
        <v>1573810</v>
      </c>
      <c r="DT17" s="12">
        <v>1702298</v>
      </c>
      <c r="DU17" s="12">
        <v>2174062</v>
      </c>
      <c r="DV17" s="12">
        <v>2676919</v>
      </c>
      <c r="DW17" s="12">
        <v>3129383</v>
      </c>
      <c r="DX17" s="12">
        <v>3307084</v>
      </c>
      <c r="DY17" s="12">
        <v>3618303</v>
      </c>
      <c r="DZ17" s="12">
        <v>4027947</v>
      </c>
      <c r="EE17" s="11">
        <f t="shared" si="1"/>
        <v>1</v>
      </c>
      <c r="EF17" s="11">
        <v>0</v>
      </c>
      <c r="EG17" s="11">
        <v>0</v>
      </c>
      <c r="EH17" s="11">
        <v>0</v>
      </c>
      <c r="EI17" s="11">
        <v>1</v>
      </c>
      <c r="EJ17" s="11">
        <v>0</v>
      </c>
      <c r="EK17" s="11">
        <v>0</v>
      </c>
      <c r="EL17" s="11">
        <v>1</v>
      </c>
      <c r="EM17" s="11">
        <v>0</v>
      </c>
      <c r="EN17" s="11">
        <v>0</v>
      </c>
      <c r="EO17" s="11">
        <v>0</v>
      </c>
      <c r="EP17" s="11">
        <v>0</v>
      </c>
      <c r="EQ17" s="11">
        <v>0.29167047636463383</v>
      </c>
      <c r="ER17" s="11">
        <v>0.32230044802048091</v>
      </c>
      <c r="ES17" s="11">
        <v>0.17052208100941757</v>
      </c>
      <c r="ET17" s="11">
        <v>7.8997897046722138E-2</v>
      </c>
      <c r="EU17" s="11">
        <v>36.657563210289837</v>
      </c>
      <c r="EV17" s="11">
        <v>1.6449278999999999</v>
      </c>
    </row>
    <row r="18" spans="1:152" x14ac:dyDescent="0.2">
      <c r="A18" s="11">
        <v>31</v>
      </c>
      <c r="B18" s="11">
        <v>16</v>
      </c>
      <c r="C18" s="13" t="s">
        <v>30</v>
      </c>
      <c r="D18" s="12">
        <v>2354</v>
      </c>
      <c r="E18" s="12">
        <v>5146.6903863731477</v>
      </c>
      <c r="F18" s="12">
        <v>6093.2081585797032</v>
      </c>
      <c r="G18" s="12">
        <v>6544.6823365138471</v>
      </c>
      <c r="H18" s="12">
        <v>8595.7857807772871</v>
      </c>
      <c r="I18" s="12">
        <v>10607.621131021644</v>
      </c>
      <c r="J18" s="12">
        <v>12014.727833372121</v>
      </c>
      <c r="K18" s="14">
        <v>11249</v>
      </c>
      <c r="L18" s="12">
        <v>10546.123643102992</v>
      </c>
      <c r="M18" s="12">
        <v>9622.8538522637009</v>
      </c>
      <c r="N18" s="27">
        <v>4.0000000000000001E-3</v>
      </c>
      <c r="O18" s="11">
        <f t="shared" si="0"/>
        <v>0</v>
      </c>
      <c r="P18" s="11">
        <v>0</v>
      </c>
      <c r="Q18" s="11">
        <v>0</v>
      </c>
      <c r="R18" s="11">
        <v>0</v>
      </c>
      <c r="S18" s="11">
        <v>1</v>
      </c>
      <c r="T18" s="11">
        <v>0</v>
      </c>
      <c r="U18" s="11">
        <v>0</v>
      </c>
      <c r="V18" s="11">
        <v>1</v>
      </c>
      <c r="W18" s="11">
        <v>0</v>
      </c>
      <c r="X18" s="11">
        <v>49</v>
      </c>
      <c r="Y18" s="11">
        <v>154</v>
      </c>
      <c r="Z18" s="11">
        <v>528</v>
      </c>
      <c r="AA18" s="11">
        <v>0</v>
      </c>
      <c r="AB18" s="11">
        <v>0</v>
      </c>
      <c r="AC18" s="28">
        <f>2+40/60</f>
        <v>2.6666666666666665</v>
      </c>
      <c r="AD18" s="28">
        <f>8+35/60</f>
        <v>8.5833333333333339</v>
      </c>
      <c r="AE18" s="28"/>
      <c r="AF18" s="28"/>
      <c r="AG18" s="11">
        <v>99</v>
      </c>
      <c r="AH18" s="11">
        <v>325</v>
      </c>
      <c r="AK18" s="11">
        <v>98</v>
      </c>
      <c r="AL18" s="11">
        <v>329</v>
      </c>
      <c r="AO18" s="12">
        <f>0</f>
        <v>0</v>
      </c>
      <c r="AP18" s="12">
        <f>0</f>
        <v>0</v>
      </c>
      <c r="AQ18" s="12">
        <f>0</f>
        <v>0</v>
      </c>
      <c r="AR18" s="12">
        <f>0</f>
        <v>0</v>
      </c>
      <c r="AS18" s="12">
        <v>0</v>
      </c>
      <c r="AT18" s="12">
        <v>0</v>
      </c>
      <c r="AU18" s="12">
        <v>0</v>
      </c>
      <c r="AV18" s="12">
        <v>0</v>
      </c>
      <c r="AW18" s="12">
        <v>0</v>
      </c>
      <c r="AX18" s="12">
        <v>0</v>
      </c>
      <c r="AY18" s="12">
        <v>0</v>
      </c>
      <c r="AZ18" s="12">
        <v>0</v>
      </c>
      <c r="BA18" s="12">
        <v>0</v>
      </c>
      <c r="BB18" s="12">
        <v>0</v>
      </c>
      <c r="BC18" s="12">
        <v>0</v>
      </c>
      <c r="BD18" s="12">
        <v>0</v>
      </c>
      <c r="BE18" s="12">
        <v>0</v>
      </c>
      <c r="BF18" s="12">
        <v>0</v>
      </c>
      <c r="BG18" s="12">
        <v>0</v>
      </c>
      <c r="BH18" s="12">
        <v>0</v>
      </c>
      <c r="BI18" s="12">
        <v>0</v>
      </c>
      <c r="BJ18" s="12">
        <v>1</v>
      </c>
      <c r="BK18" s="12">
        <v>0</v>
      </c>
      <c r="BL18" s="12">
        <v>1698.653</v>
      </c>
      <c r="BM18" s="12">
        <v>869.95889999999997</v>
      </c>
      <c r="BN18" s="12">
        <v>20.448840000000001</v>
      </c>
      <c r="BO18" s="12">
        <v>10.014939999999999</v>
      </c>
      <c r="BP18" s="12">
        <v>205</v>
      </c>
      <c r="BQ18" s="12">
        <v>331</v>
      </c>
      <c r="BR18" s="12">
        <v>1</v>
      </c>
      <c r="BS18" s="12">
        <v>1</v>
      </c>
      <c r="BT18" s="12">
        <v>0</v>
      </c>
      <c r="BU18" s="12">
        <v>0</v>
      </c>
      <c r="BV18" s="12">
        <v>0</v>
      </c>
      <c r="BW18" s="12">
        <v>0</v>
      </c>
      <c r="BX18" s="12">
        <v>0</v>
      </c>
      <c r="BY18" s="12">
        <v>0</v>
      </c>
      <c r="BZ18" s="12">
        <v>0</v>
      </c>
      <c r="CA18" s="12">
        <v>0</v>
      </c>
      <c r="CB18" s="12">
        <v>0</v>
      </c>
      <c r="CC18" s="12">
        <v>0</v>
      </c>
      <c r="CD18" s="12">
        <v>0</v>
      </c>
      <c r="CE18" s="12">
        <v>0</v>
      </c>
      <c r="CF18" s="12">
        <v>0</v>
      </c>
      <c r="CG18" s="12">
        <v>0</v>
      </c>
      <c r="CH18" s="11">
        <v>0</v>
      </c>
      <c r="CI18" s="11">
        <v>0</v>
      </c>
      <c r="CJ18" s="11">
        <v>0</v>
      </c>
      <c r="CK18" s="11">
        <v>0</v>
      </c>
      <c r="CL18" s="11">
        <v>0</v>
      </c>
      <c r="CM18" s="11">
        <v>0</v>
      </c>
      <c r="CN18" s="11">
        <v>0</v>
      </c>
      <c r="CO18" s="29">
        <v>0</v>
      </c>
      <c r="CP18" s="29">
        <v>0</v>
      </c>
      <c r="CQ18" s="29">
        <v>0</v>
      </c>
      <c r="CR18" s="29">
        <v>0</v>
      </c>
      <c r="CS18" s="11">
        <v>1</v>
      </c>
      <c r="CT18" s="30">
        <v>55.333333333333336</v>
      </c>
      <c r="CU18" s="30">
        <v>47.666666666666664</v>
      </c>
      <c r="CV18" s="12">
        <v>0</v>
      </c>
      <c r="CW18" s="12">
        <v>0</v>
      </c>
      <c r="CX18" s="11">
        <v>0</v>
      </c>
      <c r="CY18" s="11">
        <v>0</v>
      </c>
      <c r="CZ18" s="11">
        <v>1</v>
      </c>
      <c r="DA18" s="11">
        <v>1</v>
      </c>
      <c r="DB18" s="11">
        <v>1</v>
      </c>
      <c r="DC18" s="11">
        <v>1</v>
      </c>
      <c r="DD18" s="11">
        <v>1</v>
      </c>
      <c r="DE18" s="11">
        <v>123.08499999999999</v>
      </c>
      <c r="DF18" s="11">
        <v>408.04500000000002</v>
      </c>
      <c r="DI18" s="12">
        <v>108787.11285758173</v>
      </c>
      <c r="DJ18" s="12">
        <v>67454</v>
      </c>
      <c r="DK18" s="12">
        <v>29468</v>
      </c>
      <c r="DL18" s="12">
        <v>167997</v>
      </c>
      <c r="DM18" s="12">
        <v>271770</v>
      </c>
      <c r="DN18" s="12">
        <v>429850</v>
      </c>
      <c r="DO18" s="12">
        <v>417926</v>
      </c>
      <c r="DP18" s="12">
        <v>506928</v>
      </c>
      <c r="DQ18" s="12">
        <v>756819</v>
      </c>
      <c r="DR18" s="12">
        <v>1407165</v>
      </c>
      <c r="DS18" s="12">
        <v>1573810</v>
      </c>
      <c r="DT18" s="12">
        <v>1702298</v>
      </c>
      <c r="DU18" s="12">
        <v>2174062</v>
      </c>
      <c r="DV18" s="12">
        <v>2676919</v>
      </c>
      <c r="DW18" s="12">
        <v>3129383</v>
      </c>
      <c r="DX18" s="12">
        <v>3307084</v>
      </c>
      <c r="DY18" s="12">
        <v>3618303</v>
      </c>
      <c r="DZ18" s="12">
        <v>4027947</v>
      </c>
      <c r="EC18" s="11">
        <v>328.66250000000002</v>
      </c>
      <c r="ED18" s="11">
        <v>99</v>
      </c>
      <c r="EE18" s="11">
        <f t="shared" si="1"/>
        <v>0</v>
      </c>
      <c r="EF18" s="11">
        <v>1</v>
      </c>
      <c r="EG18" s="11">
        <v>0</v>
      </c>
      <c r="EH18" s="11">
        <v>0</v>
      </c>
      <c r="EI18" s="11">
        <v>0</v>
      </c>
      <c r="EJ18" s="11">
        <v>1</v>
      </c>
      <c r="EK18" s="11">
        <v>0</v>
      </c>
      <c r="EL18" s="11">
        <v>0</v>
      </c>
      <c r="EM18" s="11">
        <v>0</v>
      </c>
      <c r="EN18" s="11">
        <v>0</v>
      </c>
      <c r="EO18" s="11">
        <v>0</v>
      </c>
      <c r="EP18" s="11">
        <v>0</v>
      </c>
      <c r="EQ18" s="11">
        <v>0.352497643732328</v>
      </c>
      <c r="ER18" s="11">
        <v>0.31856738925541944</v>
      </c>
      <c r="ES18" s="11">
        <v>0.16148287778825007</v>
      </c>
      <c r="ET18" s="11">
        <v>6.0634621426327362E-2</v>
      </c>
      <c r="EU18" s="11">
        <v>0.15935542962670618</v>
      </c>
      <c r="EV18" s="11">
        <v>4.3065571</v>
      </c>
    </row>
    <row r="19" spans="1:152" x14ac:dyDescent="0.2">
      <c r="A19" s="11">
        <v>30</v>
      </c>
      <c r="B19" s="11">
        <v>17</v>
      </c>
      <c r="C19" s="13" t="s">
        <v>29</v>
      </c>
      <c r="D19" s="12">
        <v>3748</v>
      </c>
      <c r="E19" s="12">
        <v>8349.8242611835321</v>
      </c>
      <c r="F19" s="12">
        <v>12054.585283669161</v>
      </c>
      <c r="G19" s="12">
        <v>12370.261673662118</v>
      </c>
      <c r="H19" s="12">
        <v>13216.609129066106</v>
      </c>
      <c r="I19" s="12">
        <v>12782.357555089191</v>
      </c>
      <c r="J19" s="12">
        <v>12232.896379853095</v>
      </c>
      <c r="K19" s="14">
        <v>11261</v>
      </c>
      <c r="L19" s="12">
        <v>10652.051654560129</v>
      </c>
      <c r="M19" s="12">
        <v>9994.6298089857428</v>
      </c>
      <c r="N19" s="27">
        <v>6.0000000000000001E-3</v>
      </c>
      <c r="O19" s="11">
        <f t="shared" si="0"/>
        <v>0</v>
      </c>
      <c r="P19" s="11">
        <v>1</v>
      </c>
      <c r="Q19" s="11">
        <v>0</v>
      </c>
      <c r="R19" s="11">
        <v>0</v>
      </c>
      <c r="S19" s="11">
        <v>1</v>
      </c>
      <c r="T19" s="11">
        <v>1</v>
      </c>
      <c r="U19" s="11">
        <v>0</v>
      </c>
      <c r="V19" s="11">
        <v>0</v>
      </c>
      <c r="W19" s="11">
        <v>0</v>
      </c>
      <c r="X19" s="11">
        <v>0</v>
      </c>
      <c r="Y19" s="11">
        <v>559</v>
      </c>
      <c r="Z19" s="11">
        <v>256</v>
      </c>
      <c r="AA19" s="11">
        <v>0</v>
      </c>
      <c r="AB19" s="11">
        <v>0</v>
      </c>
      <c r="AC19" s="28">
        <f>11+20/60</f>
        <v>11.333333333333334</v>
      </c>
      <c r="AD19" s="28">
        <f>5+25/60</f>
        <v>5.416666666666667</v>
      </c>
      <c r="AE19" s="28"/>
      <c r="AF19" s="28"/>
      <c r="AG19" s="11">
        <v>352</v>
      </c>
      <c r="AH19" s="11">
        <v>158</v>
      </c>
      <c r="AK19" s="11">
        <v>331</v>
      </c>
      <c r="AL19" s="11">
        <v>154</v>
      </c>
      <c r="AO19" s="12">
        <f>0</f>
        <v>0</v>
      </c>
      <c r="AP19" s="12">
        <f>0</f>
        <v>0</v>
      </c>
      <c r="AQ19" s="12">
        <f>0</f>
        <v>0</v>
      </c>
      <c r="AR19" s="12">
        <f>0</f>
        <v>0</v>
      </c>
      <c r="AS19" s="14">
        <v>0</v>
      </c>
      <c r="AT19" s="14">
        <v>0</v>
      </c>
      <c r="AU19" s="14">
        <v>0</v>
      </c>
      <c r="AV19" s="12">
        <v>1</v>
      </c>
      <c r="AW19" s="12">
        <v>1</v>
      </c>
      <c r="AX19" s="12">
        <v>0</v>
      </c>
      <c r="AY19" s="12">
        <v>0</v>
      </c>
      <c r="AZ19" s="12">
        <v>0</v>
      </c>
      <c r="BA19" s="12">
        <v>0</v>
      </c>
      <c r="BB19" s="12">
        <v>0</v>
      </c>
      <c r="BC19" s="12">
        <v>0</v>
      </c>
      <c r="BD19" s="12">
        <v>0</v>
      </c>
      <c r="BE19" s="12">
        <v>0</v>
      </c>
      <c r="BF19" s="12">
        <v>0</v>
      </c>
      <c r="BG19" s="12">
        <v>0</v>
      </c>
      <c r="BH19" s="12">
        <v>0</v>
      </c>
      <c r="BI19" s="12">
        <v>0</v>
      </c>
      <c r="BJ19" s="12">
        <v>0</v>
      </c>
      <c r="BK19" s="12">
        <v>0</v>
      </c>
      <c r="BL19" s="12">
        <v>1720.25</v>
      </c>
      <c r="BM19" s="12">
        <v>2442.1480000000001</v>
      </c>
      <c r="BN19" s="12">
        <v>19.311520000000002</v>
      </c>
      <c r="BO19" s="12">
        <v>12.34249</v>
      </c>
      <c r="BP19" s="12">
        <v>401</v>
      </c>
      <c r="BQ19" s="12">
        <v>559</v>
      </c>
      <c r="BR19" s="12">
        <v>1</v>
      </c>
      <c r="BS19" s="12">
        <v>1</v>
      </c>
      <c r="BT19" s="12">
        <v>594545</v>
      </c>
      <c r="BU19" s="12">
        <v>632714</v>
      </c>
      <c r="BV19" s="12">
        <v>304</v>
      </c>
      <c r="BW19" s="12">
        <v>169655</v>
      </c>
      <c r="BX19" s="12">
        <v>321</v>
      </c>
      <c r="BY19" s="12">
        <v>141543</v>
      </c>
      <c r="BZ19" s="12">
        <v>174</v>
      </c>
      <c r="CA19" s="12">
        <v>120882</v>
      </c>
      <c r="CB19" s="12">
        <v>114</v>
      </c>
      <c r="CC19" s="12">
        <v>99457</v>
      </c>
      <c r="CD19" s="12">
        <v>104</v>
      </c>
      <c r="CE19" s="12">
        <v>78921</v>
      </c>
      <c r="CF19" s="12">
        <v>1</v>
      </c>
      <c r="CG19" s="12">
        <v>1000</v>
      </c>
      <c r="CH19" s="11">
        <v>1</v>
      </c>
      <c r="CI19" s="11">
        <v>1</v>
      </c>
      <c r="CJ19" s="11">
        <v>1</v>
      </c>
      <c r="CK19" s="11">
        <v>1</v>
      </c>
      <c r="CL19" s="11">
        <v>1</v>
      </c>
      <c r="CM19" s="11">
        <v>1</v>
      </c>
      <c r="CN19" s="11">
        <v>1</v>
      </c>
      <c r="CO19" s="29">
        <v>1</v>
      </c>
      <c r="CP19" s="29">
        <v>1</v>
      </c>
      <c r="CQ19" s="29">
        <v>1</v>
      </c>
      <c r="CR19" s="29">
        <v>1</v>
      </c>
      <c r="CS19" s="11">
        <v>1</v>
      </c>
      <c r="CT19" s="30">
        <v>30.333333333333332</v>
      </c>
      <c r="CU19" s="30">
        <v>55.666666666666664</v>
      </c>
      <c r="CV19" s="12">
        <v>0</v>
      </c>
      <c r="CW19" s="12">
        <v>0</v>
      </c>
      <c r="CX19" s="11">
        <v>0</v>
      </c>
      <c r="CY19" s="11">
        <v>0</v>
      </c>
      <c r="CZ19" s="11">
        <v>0</v>
      </c>
      <c r="DA19" s="11">
        <v>0</v>
      </c>
      <c r="DB19" s="11">
        <v>0</v>
      </c>
      <c r="DC19" s="11">
        <v>0</v>
      </c>
      <c r="DD19" s="11">
        <v>0</v>
      </c>
      <c r="DE19" s="11">
        <v>385.12599999999998</v>
      </c>
      <c r="DF19" s="11">
        <v>167.18799999999999</v>
      </c>
      <c r="DI19" s="12">
        <v>108787.11285758173</v>
      </c>
      <c r="DJ19" s="12">
        <v>67454</v>
      </c>
      <c r="DK19" s="12">
        <v>29468</v>
      </c>
      <c r="DL19" s="12">
        <v>167997</v>
      </c>
      <c r="DM19" s="12">
        <v>271770</v>
      </c>
      <c r="DN19" s="12">
        <v>429850</v>
      </c>
      <c r="DO19" s="12">
        <v>417926</v>
      </c>
      <c r="DP19" s="12">
        <v>506928</v>
      </c>
      <c r="DQ19" s="12">
        <v>756819</v>
      </c>
      <c r="DR19" s="12">
        <v>1407165</v>
      </c>
      <c r="DS19" s="12">
        <v>1573810</v>
      </c>
      <c r="DT19" s="12">
        <v>1702298</v>
      </c>
      <c r="DU19" s="12">
        <v>2174062</v>
      </c>
      <c r="DV19" s="12">
        <v>2676919</v>
      </c>
      <c r="DW19" s="12">
        <v>3129383</v>
      </c>
      <c r="DX19" s="12">
        <v>3307084</v>
      </c>
      <c r="DY19" s="12">
        <v>3618303</v>
      </c>
      <c r="DZ19" s="12">
        <v>4027947</v>
      </c>
      <c r="EE19" s="11">
        <f t="shared" si="1"/>
        <v>1</v>
      </c>
      <c r="EF19" s="11">
        <v>1</v>
      </c>
      <c r="EG19" s="11">
        <v>0</v>
      </c>
      <c r="EH19" s="11">
        <v>0</v>
      </c>
      <c r="EI19" s="11">
        <v>0</v>
      </c>
      <c r="EJ19" s="11">
        <v>0</v>
      </c>
      <c r="EK19" s="11">
        <v>0</v>
      </c>
      <c r="EL19" s="11">
        <v>0</v>
      </c>
      <c r="EM19" s="11">
        <v>1</v>
      </c>
      <c r="EN19" s="11">
        <v>0</v>
      </c>
      <c r="EO19" s="11">
        <v>0</v>
      </c>
      <c r="EP19" s="11">
        <v>0</v>
      </c>
      <c r="EQ19" s="11">
        <v>0.32966714905933431</v>
      </c>
      <c r="ER19" s="11">
        <v>0.31895803183791605</v>
      </c>
      <c r="ES19" s="11">
        <v>0.1869753979739508</v>
      </c>
      <c r="ET19" s="11">
        <v>6.6859623733719245E-2</v>
      </c>
      <c r="EU19" s="11">
        <v>1.2213770388958596</v>
      </c>
      <c r="EV19" s="11">
        <v>1.2610375999999999</v>
      </c>
    </row>
    <row r="20" spans="1:152" x14ac:dyDescent="0.2">
      <c r="A20" s="11">
        <v>4</v>
      </c>
      <c r="B20" s="11">
        <v>18</v>
      </c>
      <c r="C20" s="13" t="s">
        <v>3</v>
      </c>
      <c r="D20" s="12">
        <v>1253</v>
      </c>
      <c r="E20" s="12">
        <v>23173.816978838771</v>
      </c>
      <c r="F20" s="12">
        <v>28219.880371695446</v>
      </c>
      <c r="G20" s="12">
        <v>36937.739577693559</v>
      </c>
      <c r="H20" s="12">
        <v>56204.030319436926</v>
      </c>
      <c r="I20" s="12">
        <v>87749.795343800753</v>
      </c>
      <c r="J20" s="12">
        <v>127306.72495939361</v>
      </c>
      <c r="K20" s="17">
        <v>138645</v>
      </c>
      <c r="L20" s="12">
        <v>159234</v>
      </c>
      <c r="M20" s="12">
        <v>184908</v>
      </c>
      <c r="N20" s="27">
        <v>1.7000000000000001E-2</v>
      </c>
      <c r="O20" s="11">
        <f t="shared" si="0"/>
        <v>0</v>
      </c>
      <c r="P20" s="11">
        <v>0</v>
      </c>
      <c r="Q20" s="11">
        <v>0</v>
      </c>
      <c r="R20" s="11">
        <v>0</v>
      </c>
      <c r="S20" s="11">
        <v>1</v>
      </c>
      <c r="T20" s="11">
        <v>0</v>
      </c>
      <c r="U20" s="11">
        <v>1</v>
      </c>
      <c r="V20" s="11">
        <v>1</v>
      </c>
      <c r="W20" s="11">
        <v>1</v>
      </c>
      <c r="X20" s="11">
        <v>80</v>
      </c>
      <c r="Y20" s="11">
        <v>0</v>
      </c>
      <c r="Z20" s="11">
        <v>0</v>
      </c>
      <c r="AA20" s="11">
        <v>528</v>
      </c>
      <c r="AB20" s="11">
        <v>124</v>
      </c>
      <c r="AC20" s="28"/>
      <c r="AD20" s="28"/>
      <c r="AE20" s="28">
        <f>8+15/60</f>
        <v>8.25</v>
      </c>
      <c r="AF20" s="28">
        <f>2+20/60</f>
        <v>2.3333333333333335</v>
      </c>
      <c r="AI20" s="11">
        <v>343</v>
      </c>
      <c r="AJ20" s="11">
        <v>83</v>
      </c>
      <c r="AM20" s="11">
        <v>351</v>
      </c>
      <c r="AN20" s="11">
        <v>82</v>
      </c>
      <c r="AO20" s="12">
        <f>0</f>
        <v>0</v>
      </c>
      <c r="AP20" s="12">
        <f>0</f>
        <v>0</v>
      </c>
      <c r="AQ20" s="12">
        <f>0</f>
        <v>0</v>
      </c>
      <c r="AR20" s="12">
        <f>0</f>
        <v>0</v>
      </c>
      <c r="AS20" s="12">
        <v>0</v>
      </c>
      <c r="AT20" s="12">
        <v>1</v>
      </c>
      <c r="AU20" s="12">
        <v>1</v>
      </c>
      <c r="AV20" s="12">
        <v>1</v>
      </c>
      <c r="AW20" s="12">
        <v>1</v>
      </c>
      <c r="AX20" s="12">
        <v>0</v>
      </c>
      <c r="AY20" s="12">
        <v>0</v>
      </c>
      <c r="AZ20" s="12">
        <v>0</v>
      </c>
      <c r="BA20" s="12">
        <v>0</v>
      </c>
      <c r="BB20" s="12">
        <v>1</v>
      </c>
      <c r="BC20" s="12">
        <v>1</v>
      </c>
      <c r="BD20" s="17">
        <v>1</v>
      </c>
      <c r="BE20" s="12">
        <v>1</v>
      </c>
      <c r="BF20" s="12">
        <v>1</v>
      </c>
      <c r="BG20" s="12">
        <v>1</v>
      </c>
      <c r="BH20" s="12">
        <v>0</v>
      </c>
      <c r="BI20" s="12">
        <v>1</v>
      </c>
      <c r="BJ20" s="12">
        <v>1</v>
      </c>
      <c r="BK20" s="12">
        <v>1</v>
      </c>
      <c r="BL20" s="12">
        <v>2011.32</v>
      </c>
      <c r="BM20" s="12">
        <v>1218.4670000000001</v>
      </c>
      <c r="BN20" s="12">
        <v>23.378229999999999</v>
      </c>
      <c r="BO20" s="12">
        <v>14.071540000000001</v>
      </c>
      <c r="BP20" s="12">
        <v>1238</v>
      </c>
      <c r="BQ20" s="12">
        <v>2389</v>
      </c>
      <c r="BR20" s="12">
        <v>1</v>
      </c>
      <c r="BS20" s="12">
        <v>1</v>
      </c>
      <c r="BT20" s="12">
        <v>0</v>
      </c>
      <c r="BU20" s="12">
        <v>0</v>
      </c>
      <c r="BV20" s="12">
        <v>0</v>
      </c>
      <c r="BW20" s="12">
        <v>0</v>
      </c>
      <c r="BX20" s="12">
        <v>0</v>
      </c>
      <c r="BY20" s="12">
        <v>0</v>
      </c>
      <c r="BZ20" s="12">
        <v>0</v>
      </c>
      <c r="CA20" s="12">
        <v>0</v>
      </c>
      <c r="CB20" s="12">
        <v>0</v>
      </c>
      <c r="CC20" s="12">
        <v>0</v>
      </c>
      <c r="CD20" s="12">
        <v>0</v>
      </c>
      <c r="CE20" s="12">
        <v>0</v>
      </c>
      <c r="CF20" s="12">
        <v>0</v>
      </c>
      <c r="CG20" s="12">
        <v>0</v>
      </c>
      <c r="CH20" s="11">
        <v>0</v>
      </c>
      <c r="CI20" s="11">
        <v>0</v>
      </c>
      <c r="CJ20" s="11">
        <v>0</v>
      </c>
      <c r="CK20" s="11">
        <v>0</v>
      </c>
      <c r="CL20" s="11">
        <v>0</v>
      </c>
      <c r="CM20" s="11">
        <v>0</v>
      </c>
      <c r="CN20" s="11">
        <v>0</v>
      </c>
      <c r="CO20" s="29">
        <v>0</v>
      </c>
      <c r="CP20" s="29">
        <v>0</v>
      </c>
      <c r="CQ20" s="29">
        <v>0</v>
      </c>
      <c r="CR20" s="29">
        <v>0</v>
      </c>
      <c r="CS20" s="11">
        <v>1</v>
      </c>
      <c r="CT20" s="30">
        <v>13.666666666666666</v>
      </c>
      <c r="CU20" s="30">
        <v>20.333333333333332</v>
      </c>
      <c r="CV20" s="12">
        <v>0</v>
      </c>
      <c r="CW20" s="12">
        <v>0</v>
      </c>
      <c r="CX20" s="11">
        <v>0</v>
      </c>
      <c r="CY20" s="11">
        <v>0</v>
      </c>
      <c r="CZ20" s="11">
        <v>0</v>
      </c>
      <c r="DA20" s="11">
        <v>0</v>
      </c>
      <c r="DB20" s="11">
        <v>0</v>
      </c>
      <c r="DC20" s="11">
        <v>0</v>
      </c>
      <c r="DD20" s="11">
        <v>0</v>
      </c>
      <c r="DG20" s="11">
        <v>113.759</v>
      </c>
      <c r="DH20" s="11">
        <v>390.92700000000002</v>
      </c>
      <c r="DI20" s="12">
        <v>108787.11285758173</v>
      </c>
      <c r="DJ20" s="12">
        <v>67454</v>
      </c>
      <c r="DK20" s="12">
        <v>29468</v>
      </c>
      <c r="DL20" s="12">
        <v>167997</v>
      </c>
      <c r="DM20" s="12">
        <v>271770</v>
      </c>
      <c r="DN20" s="12">
        <v>429850</v>
      </c>
      <c r="DO20" s="12">
        <v>417926</v>
      </c>
      <c r="DP20" s="12">
        <v>506928</v>
      </c>
      <c r="DQ20" s="12">
        <v>756819</v>
      </c>
      <c r="DR20" s="12">
        <v>1407165</v>
      </c>
      <c r="DS20" s="12">
        <v>1573810</v>
      </c>
      <c r="DT20" s="12">
        <v>1702298</v>
      </c>
      <c r="DU20" s="12">
        <v>2174062</v>
      </c>
      <c r="DV20" s="12">
        <v>2676919</v>
      </c>
      <c r="DW20" s="12">
        <v>3129383</v>
      </c>
      <c r="DX20" s="12">
        <v>3307084</v>
      </c>
      <c r="DY20" s="12">
        <v>3618303</v>
      </c>
      <c r="DZ20" s="12">
        <v>4027947</v>
      </c>
      <c r="EA20" s="11">
        <v>84.337500000000006</v>
      </c>
      <c r="EB20" s="11">
        <v>344.375</v>
      </c>
      <c r="EE20" s="11">
        <f t="shared" si="1"/>
        <v>0</v>
      </c>
      <c r="EF20" s="11">
        <v>1</v>
      </c>
      <c r="EG20" s="11">
        <v>0</v>
      </c>
      <c r="EH20" s="11">
        <v>0</v>
      </c>
      <c r="EI20" s="11">
        <v>0</v>
      </c>
      <c r="EJ20" s="11">
        <v>0</v>
      </c>
      <c r="EK20" s="11">
        <v>0</v>
      </c>
      <c r="EL20" s="11">
        <v>0</v>
      </c>
      <c r="EM20" s="11">
        <v>0</v>
      </c>
      <c r="EN20" s="11">
        <v>1</v>
      </c>
      <c r="EO20" s="11">
        <v>0</v>
      </c>
      <c r="EP20" s="11">
        <v>0</v>
      </c>
      <c r="EQ20" s="11">
        <v>0.20035645328976681</v>
      </c>
      <c r="ER20" s="11">
        <v>0.36150304470518341</v>
      </c>
      <c r="ES20" s="11">
        <v>0.17273132333283825</v>
      </c>
      <c r="ET20" s="11">
        <v>0.16759245507203327</v>
      </c>
      <c r="EU20" s="11">
        <v>4.825174825174825</v>
      </c>
      <c r="EV20" s="11">
        <v>6.3752097000000001</v>
      </c>
    </row>
    <row r="21" spans="1:152" x14ac:dyDescent="0.2">
      <c r="A21" s="11">
        <v>10</v>
      </c>
      <c r="B21" s="11">
        <v>19</v>
      </c>
      <c r="C21" s="11" t="s">
        <v>9</v>
      </c>
      <c r="D21" s="12">
        <v>3650</v>
      </c>
      <c r="E21" s="12">
        <v>15571.388732404585</v>
      </c>
      <c r="F21" s="12">
        <v>19106.279069730754</v>
      </c>
      <c r="G21" s="12">
        <v>20999.780363874772</v>
      </c>
      <c r="H21" s="12">
        <v>28702.454351745615</v>
      </c>
      <c r="I21" s="12">
        <v>38700.333060154073</v>
      </c>
      <c r="J21" s="12">
        <v>52488.088510080313</v>
      </c>
      <c r="K21" s="18">
        <v>56717.999999999993</v>
      </c>
      <c r="L21" s="12">
        <v>58675</v>
      </c>
      <c r="M21" s="12">
        <v>62118</v>
      </c>
      <c r="N21" s="27">
        <v>2.9000000000000001E-2</v>
      </c>
      <c r="O21" s="11">
        <f t="shared" si="0"/>
        <v>0</v>
      </c>
      <c r="P21" s="11">
        <v>0</v>
      </c>
      <c r="Q21" s="11">
        <v>0</v>
      </c>
      <c r="R21" s="11">
        <v>0</v>
      </c>
      <c r="S21" s="11">
        <v>0</v>
      </c>
      <c r="T21" s="11">
        <v>0</v>
      </c>
      <c r="U21" s="11">
        <v>1</v>
      </c>
      <c r="V21" s="11">
        <v>1</v>
      </c>
      <c r="W21" s="11">
        <v>1</v>
      </c>
      <c r="X21" s="11">
        <v>15</v>
      </c>
      <c r="Y21" s="11">
        <v>0</v>
      </c>
      <c r="Z21" s="11">
        <v>0</v>
      </c>
      <c r="AA21" s="11">
        <v>293</v>
      </c>
      <c r="AB21" s="11">
        <v>446</v>
      </c>
      <c r="AC21" s="28"/>
      <c r="AD21" s="28"/>
      <c r="AE21" s="28">
        <f>5+35/60</f>
        <v>5.583333333333333</v>
      </c>
      <c r="AF21" s="28">
        <f>7+50/60</f>
        <v>7.833333333333333</v>
      </c>
      <c r="AI21" s="11">
        <v>197</v>
      </c>
      <c r="AJ21" s="11">
        <v>292</v>
      </c>
      <c r="AM21" s="11">
        <v>199</v>
      </c>
      <c r="AN21" s="11">
        <v>322</v>
      </c>
      <c r="AO21" s="12">
        <f>0</f>
        <v>0</v>
      </c>
      <c r="AP21" s="12">
        <f>0</f>
        <v>0</v>
      </c>
      <c r="AQ21" s="12">
        <f>0</f>
        <v>0</v>
      </c>
      <c r="AR21" s="12">
        <f>0</f>
        <v>0</v>
      </c>
      <c r="AS21" s="12">
        <v>0</v>
      </c>
      <c r="AT21" s="12">
        <v>0</v>
      </c>
      <c r="AU21" s="12">
        <v>0</v>
      </c>
      <c r="AV21" s="12">
        <v>0</v>
      </c>
      <c r="AW21" s="12">
        <v>0</v>
      </c>
      <c r="AX21" s="12">
        <v>0</v>
      </c>
      <c r="AY21" s="12">
        <v>0</v>
      </c>
      <c r="AZ21" s="12">
        <v>0</v>
      </c>
      <c r="BA21" s="12">
        <v>0</v>
      </c>
      <c r="BB21" s="12">
        <v>0</v>
      </c>
      <c r="BC21" s="12">
        <v>0</v>
      </c>
      <c r="BD21" s="12">
        <v>0</v>
      </c>
      <c r="BE21" s="12">
        <v>0</v>
      </c>
      <c r="BF21" s="12">
        <v>0</v>
      </c>
      <c r="BG21" s="12">
        <v>1</v>
      </c>
      <c r="BH21" s="12">
        <v>0</v>
      </c>
      <c r="BI21" s="12">
        <v>0</v>
      </c>
      <c r="BJ21" s="12">
        <v>1</v>
      </c>
      <c r="BK21" s="32">
        <v>1</v>
      </c>
      <c r="BL21" s="12">
        <v>2251.1379999999999</v>
      </c>
      <c r="BM21" s="12">
        <v>786.2</v>
      </c>
      <c r="BN21" s="12">
        <v>24.791820000000001</v>
      </c>
      <c r="BO21" s="12">
        <v>14.13578</v>
      </c>
      <c r="BP21" s="12">
        <v>0</v>
      </c>
      <c r="BQ21" s="12">
        <v>0</v>
      </c>
      <c r="BR21" s="12">
        <v>0</v>
      </c>
      <c r="BS21" s="12">
        <v>0</v>
      </c>
      <c r="BT21" s="12">
        <v>0</v>
      </c>
      <c r="BU21" s="12">
        <v>0</v>
      </c>
      <c r="BV21" s="12">
        <v>0</v>
      </c>
      <c r="BW21" s="12">
        <v>0</v>
      </c>
      <c r="BX21" s="12">
        <v>0</v>
      </c>
      <c r="BY21" s="12">
        <v>0</v>
      </c>
      <c r="BZ21" s="12">
        <v>0</v>
      </c>
      <c r="CA21" s="12">
        <v>0</v>
      </c>
      <c r="CB21" s="12">
        <v>0</v>
      </c>
      <c r="CC21" s="12">
        <v>0</v>
      </c>
      <c r="CD21" s="12">
        <v>0</v>
      </c>
      <c r="CE21" s="12">
        <v>0</v>
      </c>
      <c r="CF21" s="12">
        <v>0</v>
      </c>
      <c r="CG21" s="12">
        <v>0</v>
      </c>
      <c r="CH21" s="11">
        <v>0</v>
      </c>
      <c r="CI21" s="11">
        <v>0</v>
      </c>
      <c r="CJ21" s="11">
        <v>0</v>
      </c>
      <c r="CK21" s="11">
        <v>0</v>
      </c>
      <c r="CL21" s="11">
        <v>0</v>
      </c>
      <c r="CM21" s="11">
        <v>0</v>
      </c>
      <c r="CN21" s="11">
        <v>0</v>
      </c>
      <c r="CO21" s="29">
        <v>0</v>
      </c>
      <c r="CP21" s="29">
        <v>0</v>
      </c>
      <c r="CQ21" s="29">
        <v>0</v>
      </c>
      <c r="CR21" s="29">
        <v>0</v>
      </c>
      <c r="CS21" s="11">
        <v>1</v>
      </c>
      <c r="CT21" s="30">
        <v>45</v>
      </c>
      <c r="CU21" s="30">
        <v>19.666666666666668</v>
      </c>
      <c r="CV21" s="12">
        <v>0</v>
      </c>
      <c r="CW21" s="12">
        <v>0</v>
      </c>
      <c r="CX21" s="11">
        <v>0</v>
      </c>
      <c r="CY21" s="11">
        <v>1</v>
      </c>
      <c r="CZ21" s="11">
        <v>1</v>
      </c>
      <c r="DA21" s="11">
        <v>1</v>
      </c>
      <c r="DB21" s="11">
        <v>1</v>
      </c>
      <c r="DC21" s="11">
        <v>1</v>
      </c>
      <c r="DD21" s="11">
        <v>1</v>
      </c>
      <c r="DG21" s="11">
        <v>359.15300000000002</v>
      </c>
      <c r="DH21" s="11">
        <v>253.08199999999999</v>
      </c>
      <c r="DI21" s="12">
        <v>108787.11285758173</v>
      </c>
      <c r="DJ21" s="12">
        <v>67454</v>
      </c>
      <c r="DK21" s="12">
        <v>29468</v>
      </c>
      <c r="DL21" s="12">
        <v>167997</v>
      </c>
      <c r="DM21" s="12">
        <v>271770</v>
      </c>
      <c r="DN21" s="12">
        <v>429850</v>
      </c>
      <c r="DO21" s="12">
        <v>417926</v>
      </c>
      <c r="DP21" s="12">
        <v>506928</v>
      </c>
      <c r="DQ21" s="12">
        <v>756819</v>
      </c>
      <c r="DR21" s="12">
        <v>1407165</v>
      </c>
      <c r="DS21" s="12">
        <v>1573810</v>
      </c>
      <c r="DT21" s="12">
        <v>1702298</v>
      </c>
      <c r="DU21" s="12">
        <v>2174062</v>
      </c>
      <c r="DV21" s="12">
        <v>2676919</v>
      </c>
      <c r="DW21" s="12">
        <v>3129383</v>
      </c>
      <c r="DX21" s="12">
        <v>3307084</v>
      </c>
      <c r="DY21" s="12">
        <v>3618303</v>
      </c>
      <c r="DZ21" s="12">
        <v>4027947</v>
      </c>
      <c r="EA21" s="11">
        <v>439.33749999999998</v>
      </c>
      <c r="EB21" s="11">
        <v>196.91249999999999</v>
      </c>
      <c r="EE21" s="11">
        <f t="shared" si="1"/>
        <v>0</v>
      </c>
      <c r="EF21" s="11">
        <v>1</v>
      </c>
      <c r="EG21" s="11">
        <v>0</v>
      </c>
      <c r="EH21" s="11">
        <v>0</v>
      </c>
      <c r="EI21" s="11">
        <v>0</v>
      </c>
      <c r="EJ21" s="11">
        <v>0</v>
      </c>
      <c r="EK21" s="11">
        <v>0</v>
      </c>
      <c r="EL21" s="11">
        <v>1</v>
      </c>
      <c r="EM21" s="11">
        <v>0</v>
      </c>
      <c r="EN21" s="11">
        <v>0</v>
      </c>
      <c r="EO21" s="11">
        <v>0</v>
      </c>
      <c r="EP21" s="11">
        <v>0</v>
      </c>
      <c r="EQ21" s="11">
        <v>0.2709205604867973</v>
      </c>
      <c r="ER21" s="11">
        <v>0.33707363367386817</v>
      </c>
      <c r="ES21" s="11">
        <v>0.1779713057555965</v>
      </c>
      <c r="ET21" s="11">
        <v>9.3842460782671805E-2</v>
      </c>
      <c r="EU21" s="11">
        <v>13.32518337408313</v>
      </c>
      <c r="EV21" s="11">
        <v>2.1311245999999997</v>
      </c>
    </row>
    <row r="22" spans="1:152" x14ac:dyDescent="0.2">
      <c r="A22" s="11">
        <v>29</v>
      </c>
      <c r="B22" s="11">
        <v>20</v>
      </c>
      <c r="C22" s="13" t="s">
        <v>28</v>
      </c>
      <c r="D22" s="12">
        <v>2131</v>
      </c>
      <c r="E22" s="12">
        <v>4592.8934697711211</v>
      </c>
      <c r="F22" s="12">
        <v>4758.2008996984532</v>
      </c>
      <c r="G22" s="14">
        <v>4840</v>
      </c>
      <c r="H22" s="14">
        <v>5620</v>
      </c>
      <c r="I22" s="14">
        <v>8142</v>
      </c>
      <c r="J22" s="14">
        <v>8506</v>
      </c>
      <c r="K22" s="14">
        <v>11375</v>
      </c>
      <c r="L22" s="12">
        <v>10983.72235872236</v>
      </c>
      <c r="M22" s="12">
        <v>9977.5798525798527</v>
      </c>
      <c r="N22" s="27">
        <v>0.02</v>
      </c>
      <c r="O22" s="11">
        <f t="shared" si="0"/>
        <v>0</v>
      </c>
      <c r="P22" s="11">
        <v>0</v>
      </c>
      <c r="Q22" s="11">
        <v>1</v>
      </c>
      <c r="R22" s="11">
        <v>0</v>
      </c>
      <c r="S22" s="11">
        <v>1</v>
      </c>
      <c r="T22" s="11">
        <v>0</v>
      </c>
      <c r="U22" s="11">
        <v>1</v>
      </c>
      <c r="V22" s="11">
        <v>1</v>
      </c>
      <c r="W22" s="11">
        <v>0</v>
      </c>
      <c r="X22" s="11">
        <v>20</v>
      </c>
      <c r="Y22" s="11">
        <v>0</v>
      </c>
      <c r="Z22" s="11">
        <v>0</v>
      </c>
      <c r="AA22" s="11">
        <v>282</v>
      </c>
      <c r="AB22" s="11">
        <v>422</v>
      </c>
      <c r="AC22" s="28"/>
      <c r="AD22" s="28"/>
      <c r="AE22" s="28">
        <f>5+10/60</f>
        <v>5.166666666666667</v>
      </c>
      <c r="AF22" s="28">
        <f>8+20/60</f>
        <v>8.3333333333333339</v>
      </c>
      <c r="AI22" s="11">
        <v>185</v>
      </c>
      <c r="AJ22" s="11">
        <v>276</v>
      </c>
      <c r="AM22" s="11">
        <v>187</v>
      </c>
      <c r="AN22" s="11">
        <v>288</v>
      </c>
      <c r="AO22" s="12">
        <f>0</f>
        <v>0</v>
      </c>
      <c r="AP22" s="12">
        <f>0</f>
        <v>0</v>
      </c>
      <c r="AQ22" s="12">
        <f>0</f>
        <v>0</v>
      </c>
      <c r="AR22" s="12">
        <f>0</f>
        <v>0</v>
      </c>
      <c r="AS22" s="14">
        <v>0</v>
      </c>
      <c r="AT22" s="14">
        <v>0</v>
      </c>
      <c r="AU22" s="14">
        <v>0</v>
      </c>
      <c r="AV22" s="12">
        <v>0</v>
      </c>
      <c r="AW22" s="12">
        <v>0</v>
      </c>
      <c r="AX22" s="12">
        <v>0</v>
      </c>
      <c r="AY22" s="12">
        <v>0</v>
      </c>
      <c r="AZ22" s="12">
        <v>0</v>
      </c>
      <c r="BA22" s="12">
        <v>0</v>
      </c>
      <c r="BB22" s="12">
        <v>0</v>
      </c>
      <c r="BC22" s="12">
        <v>0</v>
      </c>
      <c r="BD22" s="12">
        <v>0</v>
      </c>
      <c r="BE22" s="12">
        <v>0</v>
      </c>
      <c r="BF22" s="12">
        <v>0</v>
      </c>
      <c r="BG22" s="12">
        <v>1</v>
      </c>
      <c r="BH22" s="12">
        <v>0</v>
      </c>
      <c r="BI22" s="12">
        <v>0</v>
      </c>
      <c r="BJ22" s="12">
        <v>0</v>
      </c>
      <c r="BK22" s="12">
        <v>0</v>
      </c>
      <c r="BL22" s="12">
        <v>1980.9380000000001</v>
      </c>
      <c r="BM22" s="12">
        <v>1151.8019999999999</v>
      </c>
      <c r="BN22" s="12">
        <v>20.32414</v>
      </c>
      <c r="BO22" s="12">
        <v>12.813330000000001</v>
      </c>
      <c r="BP22" s="12">
        <v>305</v>
      </c>
      <c r="BQ22" s="12">
        <v>742</v>
      </c>
      <c r="BR22" s="12">
        <v>1</v>
      </c>
      <c r="BS22" s="12">
        <v>1</v>
      </c>
      <c r="BT22" s="12">
        <v>0</v>
      </c>
      <c r="BU22" s="12">
        <v>0</v>
      </c>
      <c r="BV22" s="12">
        <v>0</v>
      </c>
      <c r="BW22" s="12">
        <v>0</v>
      </c>
      <c r="BX22" s="12">
        <v>0</v>
      </c>
      <c r="BY22" s="12">
        <v>0</v>
      </c>
      <c r="BZ22" s="12">
        <v>0</v>
      </c>
      <c r="CA22" s="12">
        <v>0</v>
      </c>
      <c r="CB22" s="12">
        <v>0</v>
      </c>
      <c r="CC22" s="12">
        <v>0</v>
      </c>
      <c r="CD22" s="12">
        <v>0</v>
      </c>
      <c r="CE22" s="12">
        <v>0</v>
      </c>
      <c r="CF22" s="12">
        <v>0</v>
      </c>
      <c r="CG22" s="12">
        <v>0</v>
      </c>
      <c r="CH22" s="11">
        <v>0</v>
      </c>
      <c r="CI22" s="11">
        <v>0</v>
      </c>
      <c r="CJ22" s="11">
        <v>0</v>
      </c>
      <c r="CK22" s="11">
        <v>0</v>
      </c>
      <c r="CL22" s="11">
        <v>0</v>
      </c>
      <c r="CM22" s="11">
        <v>0</v>
      </c>
      <c r="CN22" s="11">
        <v>0</v>
      </c>
      <c r="CO22" s="29">
        <v>0</v>
      </c>
      <c r="CP22" s="29">
        <v>0</v>
      </c>
      <c r="CQ22" s="29">
        <v>0</v>
      </c>
      <c r="CR22" s="29">
        <v>0</v>
      </c>
      <c r="CS22" s="11">
        <v>1</v>
      </c>
      <c r="CT22" s="30">
        <v>24</v>
      </c>
      <c r="CU22" s="30">
        <v>70</v>
      </c>
      <c r="CV22" s="12">
        <v>0</v>
      </c>
      <c r="CW22" s="12">
        <v>0</v>
      </c>
      <c r="CX22" s="11">
        <v>0</v>
      </c>
      <c r="CY22" s="11">
        <v>0</v>
      </c>
      <c r="CZ22" s="11">
        <v>0</v>
      </c>
      <c r="DA22" s="11">
        <v>0</v>
      </c>
      <c r="DB22" s="11">
        <v>0</v>
      </c>
      <c r="DC22" s="11">
        <v>0</v>
      </c>
      <c r="DD22" s="11">
        <v>0</v>
      </c>
      <c r="DG22" s="11">
        <v>307.06299999999999</v>
      </c>
      <c r="DH22" s="11">
        <v>193.21600000000001</v>
      </c>
      <c r="DI22" s="12">
        <v>108787.11285758173</v>
      </c>
      <c r="DJ22" s="12">
        <v>67454</v>
      </c>
      <c r="DK22" s="12">
        <v>29468</v>
      </c>
      <c r="DL22" s="12">
        <v>167997</v>
      </c>
      <c r="DM22" s="12">
        <v>271770</v>
      </c>
      <c r="DN22" s="12">
        <v>429850</v>
      </c>
      <c r="DO22" s="12">
        <v>417926</v>
      </c>
      <c r="DP22" s="12">
        <v>506928</v>
      </c>
      <c r="DQ22" s="12">
        <v>756819</v>
      </c>
      <c r="DR22" s="12">
        <v>1407165</v>
      </c>
      <c r="DS22" s="12">
        <v>1573810</v>
      </c>
      <c r="DT22" s="12">
        <v>1702298</v>
      </c>
      <c r="DU22" s="12">
        <v>2174062</v>
      </c>
      <c r="DV22" s="12">
        <v>2676919</v>
      </c>
      <c r="DW22" s="12">
        <v>3129383</v>
      </c>
      <c r="DX22" s="12">
        <v>3307084</v>
      </c>
      <c r="DY22" s="12">
        <v>3618303</v>
      </c>
      <c r="DZ22" s="12">
        <v>4027947</v>
      </c>
      <c r="EA22" s="11">
        <v>394.78750000000002</v>
      </c>
      <c r="EB22" s="11">
        <v>204.65</v>
      </c>
      <c r="EE22" s="11">
        <f t="shared" si="1"/>
        <v>0</v>
      </c>
      <c r="EF22" s="11">
        <v>0</v>
      </c>
      <c r="EG22" s="11">
        <v>1</v>
      </c>
      <c r="EH22" s="11">
        <v>0</v>
      </c>
      <c r="EI22" s="11">
        <v>0</v>
      </c>
      <c r="EJ22" s="11">
        <v>0</v>
      </c>
      <c r="EK22" s="11">
        <v>0</v>
      </c>
      <c r="EL22" s="11">
        <v>1</v>
      </c>
      <c r="EM22" s="11">
        <v>0</v>
      </c>
      <c r="EN22" s="11">
        <v>0</v>
      </c>
      <c r="EO22" s="11">
        <v>0</v>
      </c>
      <c r="EP22" s="11">
        <v>0</v>
      </c>
      <c r="EQ22" s="11">
        <v>0.34374535177748028</v>
      </c>
      <c r="ER22" s="11">
        <v>0.31533541573702217</v>
      </c>
      <c r="ES22" s="11">
        <v>0.14874312063067083</v>
      </c>
      <c r="ET22" s="11">
        <v>5.176260597947345E-2</v>
      </c>
      <c r="EU22" s="11">
        <v>14.962606837606836</v>
      </c>
      <c r="EV22" s="11">
        <v>3.0185785000000003</v>
      </c>
    </row>
    <row r="23" spans="1:152" x14ac:dyDescent="0.2">
      <c r="A23" s="11">
        <v>46</v>
      </c>
      <c r="B23" s="11">
        <v>21</v>
      </c>
      <c r="C23" s="11" t="s">
        <v>48</v>
      </c>
      <c r="D23" s="12">
        <v>1946</v>
      </c>
      <c r="E23" s="12">
        <v>2402.6240975550568</v>
      </c>
      <c r="F23" s="12">
        <v>2704.3349511618035</v>
      </c>
      <c r="G23" s="12">
        <v>2742</v>
      </c>
      <c r="H23" s="12">
        <v>3032</v>
      </c>
      <c r="I23" s="12">
        <v>3258</v>
      </c>
      <c r="J23" s="12">
        <v>3530</v>
      </c>
      <c r="K23" s="14">
        <v>3427</v>
      </c>
      <c r="L23" s="12">
        <v>3321.4221482098251</v>
      </c>
      <c r="M23" s="12">
        <v>3070.3180682764364</v>
      </c>
      <c r="N23" s="27">
        <v>6.0000000000000001E-3</v>
      </c>
      <c r="O23" s="11">
        <f t="shared" si="0"/>
        <v>0</v>
      </c>
      <c r="P23" s="11">
        <v>0</v>
      </c>
      <c r="Q23" s="11">
        <v>1</v>
      </c>
      <c r="R23" s="11">
        <v>0</v>
      </c>
      <c r="S23" s="11">
        <v>1</v>
      </c>
      <c r="T23" s="11">
        <v>1</v>
      </c>
      <c r="U23" s="11">
        <v>0</v>
      </c>
      <c r="V23" s="11">
        <v>0</v>
      </c>
      <c r="W23" s="11">
        <v>0</v>
      </c>
      <c r="X23" s="11">
        <v>102</v>
      </c>
      <c r="Y23" s="11">
        <v>563</v>
      </c>
      <c r="Z23" s="11">
        <v>260</v>
      </c>
      <c r="AA23" s="11">
        <v>0</v>
      </c>
      <c r="AB23" s="11">
        <v>0</v>
      </c>
      <c r="AC23" s="28">
        <f>11+15/60</f>
        <v>11.25</v>
      </c>
      <c r="AD23" s="28">
        <f>5+20/60</f>
        <v>5.333333333333333</v>
      </c>
      <c r="AE23" s="28"/>
      <c r="AF23" s="28"/>
      <c r="AG23" s="11">
        <v>355</v>
      </c>
      <c r="AH23" s="11">
        <v>161</v>
      </c>
      <c r="AK23" s="11">
        <v>334</v>
      </c>
      <c r="AL23" s="11">
        <v>158</v>
      </c>
      <c r="AO23" s="12">
        <f>0</f>
        <v>0</v>
      </c>
      <c r="AP23" s="12">
        <f>0</f>
        <v>0</v>
      </c>
      <c r="AQ23" s="12">
        <f>0</f>
        <v>0</v>
      </c>
      <c r="AR23" s="12">
        <f>0</f>
        <v>0</v>
      </c>
      <c r="AS23" s="12">
        <v>0</v>
      </c>
      <c r="AT23" s="12">
        <v>0</v>
      </c>
      <c r="AU23" s="12">
        <v>0</v>
      </c>
      <c r="AV23" s="12">
        <v>0</v>
      </c>
      <c r="AW23" s="12">
        <v>0</v>
      </c>
      <c r="AX23" s="12">
        <v>0</v>
      </c>
      <c r="AY23" s="12">
        <v>0</v>
      </c>
      <c r="AZ23" s="12">
        <v>0</v>
      </c>
      <c r="BA23" s="12">
        <v>0</v>
      </c>
      <c r="BB23" s="12">
        <v>0</v>
      </c>
      <c r="BC23" s="12">
        <v>0</v>
      </c>
      <c r="BD23" s="12">
        <v>0</v>
      </c>
      <c r="BE23" s="12">
        <v>0</v>
      </c>
      <c r="BF23" s="12">
        <v>0</v>
      </c>
      <c r="BG23" s="12">
        <v>1</v>
      </c>
      <c r="BH23" s="12">
        <v>1</v>
      </c>
      <c r="BI23" s="14">
        <v>1</v>
      </c>
      <c r="BJ23" s="12">
        <v>1</v>
      </c>
      <c r="BK23" s="12">
        <v>1</v>
      </c>
      <c r="BL23" s="12">
        <v>1877.0239999999999</v>
      </c>
      <c r="BM23" s="12">
        <v>2849.7060000000001</v>
      </c>
      <c r="BN23" s="12">
        <v>19.110600000000002</v>
      </c>
      <c r="BO23" s="12">
        <v>12.280670000000001</v>
      </c>
      <c r="BP23" s="12">
        <v>135</v>
      </c>
      <c r="BQ23" s="12">
        <v>405</v>
      </c>
      <c r="BR23" s="12">
        <v>1</v>
      </c>
      <c r="BS23" s="12">
        <v>1</v>
      </c>
      <c r="BT23" s="12">
        <v>10885</v>
      </c>
      <c r="BU23" s="12">
        <v>5867</v>
      </c>
      <c r="BV23" s="12">
        <v>15</v>
      </c>
      <c r="BW23" s="12">
        <v>360</v>
      </c>
      <c r="BX23" s="12">
        <v>74</v>
      </c>
      <c r="BY23" s="12">
        <v>4381</v>
      </c>
      <c r="BZ23" s="12">
        <v>30</v>
      </c>
      <c r="CA23" s="12">
        <v>1380</v>
      </c>
      <c r="CB23" s="12">
        <v>0</v>
      </c>
      <c r="CC23" s="12">
        <v>0</v>
      </c>
      <c r="CD23" s="12">
        <v>0</v>
      </c>
      <c r="CE23" s="12">
        <v>0</v>
      </c>
      <c r="CF23" s="12">
        <v>0</v>
      </c>
      <c r="CG23" s="12">
        <v>0</v>
      </c>
      <c r="CH23" s="11">
        <v>1</v>
      </c>
      <c r="CI23" s="11">
        <v>1</v>
      </c>
      <c r="CJ23" s="11">
        <v>1</v>
      </c>
      <c r="CK23" s="11">
        <v>1</v>
      </c>
      <c r="CL23" s="11">
        <v>1</v>
      </c>
      <c r="CM23" s="11">
        <v>0</v>
      </c>
      <c r="CN23" s="11">
        <v>0</v>
      </c>
      <c r="CO23" s="29">
        <v>0</v>
      </c>
      <c r="CP23" s="29">
        <v>0</v>
      </c>
      <c r="CQ23" s="29">
        <v>0</v>
      </c>
      <c r="CR23" s="29">
        <v>0</v>
      </c>
      <c r="CS23" s="11">
        <v>1</v>
      </c>
      <c r="CT23" s="30">
        <v>52.333333333333336</v>
      </c>
      <c r="CU23" s="30">
        <v>11.333333333333334</v>
      </c>
      <c r="CV23" s="12">
        <v>0</v>
      </c>
      <c r="CW23" s="12">
        <v>0</v>
      </c>
      <c r="CX23" s="11">
        <v>0</v>
      </c>
      <c r="CY23" s="11">
        <v>0</v>
      </c>
      <c r="CZ23" s="11">
        <v>0</v>
      </c>
      <c r="DA23" s="11">
        <v>0</v>
      </c>
      <c r="DB23" s="11">
        <v>0</v>
      </c>
      <c r="DC23" s="11">
        <v>1</v>
      </c>
      <c r="DD23" s="11">
        <v>1</v>
      </c>
      <c r="DE23" s="11">
        <v>353.23</v>
      </c>
      <c r="DF23" s="11">
        <v>163.25200000000001</v>
      </c>
      <c r="DI23" s="12">
        <v>108787.11285758173</v>
      </c>
      <c r="DJ23" s="12">
        <v>67454</v>
      </c>
      <c r="DK23" s="12">
        <v>29468</v>
      </c>
      <c r="DL23" s="12">
        <v>167997</v>
      </c>
      <c r="DM23" s="12">
        <v>271770</v>
      </c>
      <c r="DN23" s="12">
        <v>429850</v>
      </c>
      <c r="DO23" s="12">
        <v>417926</v>
      </c>
      <c r="DP23" s="12">
        <v>506928</v>
      </c>
      <c r="DQ23" s="12">
        <v>756819</v>
      </c>
      <c r="DR23" s="12">
        <v>1407165</v>
      </c>
      <c r="DS23" s="12">
        <v>1573810</v>
      </c>
      <c r="DT23" s="12">
        <v>1702298</v>
      </c>
      <c r="DU23" s="12">
        <v>2174062</v>
      </c>
      <c r="DV23" s="12">
        <v>2676919</v>
      </c>
      <c r="DW23" s="12">
        <v>3129383</v>
      </c>
      <c r="DX23" s="12">
        <v>3307084</v>
      </c>
      <c r="DY23" s="12">
        <v>3618303</v>
      </c>
      <c r="DZ23" s="12">
        <v>4027947</v>
      </c>
      <c r="EE23" s="11">
        <f t="shared" si="1"/>
        <v>1</v>
      </c>
      <c r="EF23" s="11">
        <v>0</v>
      </c>
      <c r="EG23" s="11">
        <v>0</v>
      </c>
      <c r="EH23" s="11">
        <v>1</v>
      </c>
      <c r="EI23" s="11">
        <v>0</v>
      </c>
      <c r="EJ23" s="11">
        <v>0</v>
      </c>
      <c r="EK23" s="11">
        <v>0</v>
      </c>
      <c r="EL23" s="11">
        <v>0</v>
      </c>
      <c r="EM23" s="11">
        <v>1</v>
      </c>
      <c r="EN23" s="11">
        <v>0</v>
      </c>
      <c r="EO23" s="11">
        <v>0</v>
      </c>
      <c r="EP23" s="11">
        <v>0</v>
      </c>
      <c r="EQ23" s="11">
        <v>0.27180168216024791</v>
      </c>
      <c r="ER23" s="11">
        <v>0.32580787959274016</v>
      </c>
      <c r="ES23" s="11">
        <v>0.18238158477202301</v>
      </c>
      <c r="ET23" s="11">
        <v>8.1451969898185039E-2</v>
      </c>
      <c r="EU23" s="11">
        <v>1.2213770388958596</v>
      </c>
      <c r="EV23" s="11">
        <v>0.56907629999999987</v>
      </c>
    </row>
    <row r="24" spans="1:152" x14ac:dyDescent="0.2">
      <c r="A24" s="11">
        <v>33</v>
      </c>
      <c r="B24" s="11">
        <v>22</v>
      </c>
      <c r="C24" s="11" t="s">
        <v>32</v>
      </c>
      <c r="D24" s="12">
        <v>0</v>
      </c>
      <c r="E24" s="12">
        <v>1745.1422239352478</v>
      </c>
      <c r="F24" s="12">
        <v>1976.1318943919832</v>
      </c>
      <c r="G24" s="12">
        <v>2870</v>
      </c>
      <c r="H24" s="12">
        <v>4187</v>
      </c>
      <c r="I24" s="12">
        <v>5401</v>
      </c>
      <c r="J24" s="12">
        <v>5559</v>
      </c>
      <c r="K24" s="14">
        <v>6750</v>
      </c>
      <c r="L24" s="12">
        <v>6062.6331487004691</v>
      </c>
      <c r="M24" s="12">
        <v>5651.3634426927993</v>
      </c>
      <c r="N24" s="27">
        <v>1.7000000000000001E-2</v>
      </c>
      <c r="O24" s="11">
        <f t="shared" si="0"/>
        <v>1</v>
      </c>
      <c r="P24" s="11">
        <v>0</v>
      </c>
      <c r="Q24" s="11">
        <v>0</v>
      </c>
      <c r="R24" s="11">
        <v>0</v>
      </c>
      <c r="S24" s="11">
        <v>1</v>
      </c>
      <c r="T24" s="11">
        <v>0</v>
      </c>
      <c r="U24" s="11">
        <v>1</v>
      </c>
      <c r="V24" s="11">
        <v>0</v>
      </c>
      <c r="W24" s="11">
        <v>0</v>
      </c>
      <c r="X24" s="11">
        <v>61</v>
      </c>
      <c r="Y24" s="11">
        <v>0</v>
      </c>
      <c r="Z24" s="11">
        <v>0</v>
      </c>
      <c r="AA24" s="11">
        <v>559</v>
      </c>
      <c r="AB24" s="11">
        <v>93</v>
      </c>
      <c r="AC24" s="28"/>
      <c r="AD24" s="28"/>
      <c r="AE24" s="28">
        <f>8+50/60</f>
        <v>8.8333333333333339</v>
      </c>
      <c r="AF24" s="28">
        <f>1+45/60</f>
        <v>1.75</v>
      </c>
      <c r="AI24" s="11">
        <v>364</v>
      </c>
      <c r="AJ24" s="11">
        <v>62</v>
      </c>
      <c r="AM24" s="11">
        <v>372</v>
      </c>
      <c r="AN24" s="11">
        <v>61</v>
      </c>
      <c r="AO24" s="12">
        <f>0</f>
        <v>0</v>
      </c>
      <c r="AP24" s="12">
        <f>0</f>
        <v>0</v>
      </c>
      <c r="AQ24" s="12">
        <f>0</f>
        <v>0</v>
      </c>
      <c r="AR24" s="12">
        <f>0</f>
        <v>0</v>
      </c>
      <c r="AS24" s="12">
        <v>0</v>
      </c>
      <c r="AT24" s="12">
        <v>0</v>
      </c>
      <c r="AU24" s="12">
        <v>0</v>
      </c>
      <c r="AV24" s="12">
        <v>0</v>
      </c>
      <c r="AW24" s="12">
        <v>0</v>
      </c>
      <c r="AX24" s="12">
        <v>0</v>
      </c>
      <c r="AY24" s="12">
        <v>0</v>
      </c>
      <c r="AZ24" s="12">
        <v>0</v>
      </c>
      <c r="BA24" s="12">
        <v>0</v>
      </c>
      <c r="BB24" s="12">
        <v>0</v>
      </c>
      <c r="BC24" s="12">
        <v>0</v>
      </c>
      <c r="BD24" s="12">
        <v>0</v>
      </c>
      <c r="BE24" s="12">
        <v>0</v>
      </c>
      <c r="BF24" s="12">
        <v>0</v>
      </c>
      <c r="BG24" s="12">
        <v>0</v>
      </c>
      <c r="BH24" s="12">
        <v>0</v>
      </c>
      <c r="BI24" s="12">
        <v>0</v>
      </c>
      <c r="BJ24" s="12">
        <v>0</v>
      </c>
      <c r="BK24" s="12">
        <v>0</v>
      </c>
      <c r="BL24" s="12">
        <v>2011.32</v>
      </c>
      <c r="BM24" s="12">
        <v>1263.5740000000001</v>
      </c>
      <c r="BN24" s="12">
        <v>23.672219999999999</v>
      </c>
      <c r="BO24" s="12">
        <v>14.335290000000001</v>
      </c>
      <c r="BP24" s="12">
        <v>0</v>
      </c>
      <c r="BQ24" s="12">
        <v>0</v>
      </c>
      <c r="BR24" s="12">
        <v>0</v>
      </c>
      <c r="BS24" s="12">
        <v>0</v>
      </c>
      <c r="BT24" s="12">
        <v>0</v>
      </c>
      <c r="BU24" s="12">
        <v>0</v>
      </c>
      <c r="BV24" s="12">
        <v>0</v>
      </c>
      <c r="BW24" s="12">
        <v>0</v>
      </c>
      <c r="BX24" s="12">
        <v>0</v>
      </c>
      <c r="BY24" s="12">
        <v>0</v>
      </c>
      <c r="BZ24" s="12">
        <v>0</v>
      </c>
      <c r="CA24" s="12">
        <v>0</v>
      </c>
      <c r="CB24" s="12">
        <v>0</v>
      </c>
      <c r="CC24" s="12">
        <v>0</v>
      </c>
      <c r="CD24" s="12">
        <v>0</v>
      </c>
      <c r="CE24" s="12">
        <v>0</v>
      </c>
      <c r="CF24" s="12">
        <v>0</v>
      </c>
      <c r="CG24" s="12">
        <v>0</v>
      </c>
      <c r="CH24" s="11">
        <v>0</v>
      </c>
      <c r="CI24" s="11">
        <v>0</v>
      </c>
      <c r="CJ24" s="11">
        <v>0</v>
      </c>
      <c r="CK24" s="11">
        <v>0</v>
      </c>
      <c r="CL24" s="11">
        <v>0</v>
      </c>
      <c r="CM24" s="11">
        <v>0</v>
      </c>
      <c r="CN24" s="11">
        <v>0</v>
      </c>
      <c r="CO24" s="29">
        <v>0</v>
      </c>
      <c r="CP24" s="29">
        <v>0</v>
      </c>
      <c r="CQ24" s="29">
        <v>0</v>
      </c>
      <c r="CR24" s="29">
        <v>0</v>
      </c>
      <c r="CS24" s="11">
        <v>1</v>
      </c>
      <c r="CT24" s="30">
        <v>20.333333333333332</v>
      </c>
      <c r="CU24" s="30">
        <v>60.666666666666664</v>
      </c>
      <c r="CV24" s="12">
        <v>0</v>
      </c>
      <c r="CW24" s="12">
        <v>0</v>
      </c>
      <c r="CX24" s="11">
        <v>0</v>
      </c>
      <c r="CY24" s="11">
        <v>0</v>
      </c>
      <c r="CZ24" s="11">
        <v>0</v>
      </c>
      <c r="DA24" s="11">
        <v>0</v>
      </c>
      <c r="DB24" s="11">
        <v>0</v>
      </c>
      <c r="DC24" s="11">
        <v>0</v>
      </c>
      <c r="DD24" s="11">
        <v>0</v>
      </c>
      <c r="DG24" s="11">
        <v>86.162999999999997</v>
      </c>
      <c r="DH24" s="11">
        <v>415.33499999999998</v>
      </c>
      <c r="DI24" s="12">
        <v>108787.11285758173</v>
      </c>
      <c r="DJ24" s="12">
        <v>67454</v>
      </c>
      <c r="DK24" s="12">
        <v>29468</v>
      </c>
      <c r="DL24" s="12">
        <v>167997</v>
      </c>
      <c r="DM24" s="12">
        <v>271770</v>
      </c>
      <c r="DN24" s="12">
        <v>429850</v>
      </c>
      <c r="DO24" s="12">
        <v>417926</v>
      </c>
      <c r="DP24" s="12">
        <v>506928</v>
      </c>
      <c r="DQ24" s="12">
        <v>756819</v>
      </c>
      <c r="DR24" s="12">
        <v>1407165</v>
      </c>
      <c r="DS24" s="12">
        <v>1573810</v>
      </c>
      <c r="DT24" s="12">
        <v>1702298</v>
      </c>
      <c r="DU24" s="12">
        <v>2174062</v>
      </c>
      <c r="DV24" s="12">
        <v>2676919</v>
      </c>
      <c r="DW24" s="12">
        <v>3129383</v>
      </c>
      <c r="DX24" s="12">
        <v>3307084</v>
      </c>
      <c r="DY24" s="12">
        <v>3618303</v>
      </c>
      <c r="DZ24" s="12">
        <v>4027947</v>
      </c>
      <c r="EA24" s="11">
        <v>73.924999999999997</v>
      </c>
      <c r="EB24" s="11">
        <v>354.78750000000002</v>
      </c>
      <c r="EE24" s="11">
        <f t="shared" si="1"/>
        <v>0</v>
      </c>
      <c r="EF24" s="11">
        <v>1</v>
      </c>
      <c r="EG24" s="11">
        <v>0</v>
      </c>
      <c r="EH24" s="11">
        <v>0</v>
      </c>
      <c r="EI24" s="11">
        <v>0</v>
      </c>
      <c r="EJ24" s="11">
        <v>0</v>
      </c>
      <c r="EK24" s="11">
        <v>0</v>
      </c>
      <c r="EL24" s="11">
        <v>0</v>
      </c>
      <c r="EM24" s="11">
        <v>0</v>
      </c>
      <c r="EN24" s="11">
        <v>1</v>
      </c>
      <c r="EO24" s="11">
        <v>0</v>
      </c>
      <c r="EP24" s="11">
        <v>0</v>
      </c>
      <c r="EQ24" s="11">
        <v>0.26948795456627278</v>
      </c>
      <c r="ER24" s="11">
        <v>0.32215810204268575</v>
      </c>
      <c r="ES24" s="11">
        <v>0.17330768526151874</v>
      </c>
      <c r="ET24" s="11">
        <v>0.10204268571952002</v>
      </c>
      <c r="EU24" s="11">
        <v>73.183391003460201</v>
      </c>
      <c r="EV24" s="11">
        <v>3.6452036999999997</v>
      </c>
    </row>
    <row r="25" spans="1:152" x14ac:dyDescent="0.2">
      <c r="A25" s="11">
        <v>22</v>
      </c>
      <c r="B25" s="11">
        <v>23</v>
      </c>
      <c r="C25" s="11" t="s">
        <v>21</v>
      </c>
      <c r="D25" s="11">
        <v>9953</v>
      </c>
      <c r="E25" s="11">
        <v>21956.726842411888</v>
      </c>
      <c r="F25" s="11">
        <v>25883.668657151182</v>
      </c>
      <c r="G25" s="11">
        <v>27583</v>
      </c>
      <c r="H25" s="11">
        <v>35107</v>
      </c>
      <c r="I25" s="11">
        <v>46016</v>
      </c>
      <c r="J25" s="11">
        <v>53762</v>
      </c>
      <c r="K25" s="11">
        <v>52807</v>
      </c>
      <c r="L25" s="11">
        <v>49306</v>
      </c>
      <c r="M25" s="11">
        <v>46773</v>
      </c>
      <c r="N25" s="11">
        <v>4.0000000000000001E-3</v>
      </c>
      <c r="O25" s="11">
        <f t="shared" si="0"/>
        <v>0</v>
      </c>
      <c r="P25" s="11">
        <v>0</v>
      </c>
      <c r="Q25" s="11">
        <v>0</v>
      </c>
      <c r="R25" s="11">
        <v>0</v>
      </c>
      <c r="S25" s="11">
        <v>1</v>
      </c>
      <c r="T25" s="11">
        <v>1</v>
      </c>
      <c r="U25" s="11">
        <v>0</v>
      </c>
      <c r="V25" s="11">
        <v>1</v>
      </c>
      <c r="W25" s="11">
        <v>0</v>
      </c>
      <c r="X25" s="11">
        <v>0</v>
      </c>
      <c r="Y25" s="11">
        <v>209</v>
      </c>
      <c r="Z25" s="11">
        <v>583</v>
      </c>
      <c r="AA25" s="11">
        <v>0</v>
      </c>
      <c r="AB25" s="11">
        <v>0</v>
      </c>
      <c r="AC25" s="11">
        <f>3+40/60</f>
        <v>3.6666666666666665</v>
      </c>
      <c r="AD25" s="11">
        <f>9+35/60</f>
        <v>9.5833333333333339</v>
      </c>
      <c r="AG25" s="11">
        <v>139</v>
      </c>
      <c r="AH25" s="11">
        <v>365</v>
      </c>
      <c r="AK25" s="11">
        <v>147</v>
      </c>
      <c r="AL25" s="11">
        <v>378</v>
      </c>
      <c r="AO25" s="11">
        <f>0</f>
        <v>0</v>
      </c>
      <c r="AP25" s="11">
        <f>0</f>
        <v>0</v>
      </c>
      <c r="AQ25" s="11">
        <f>0</f>
        <v>0</v>
      </c>
      <c r="AR25" s="11">
        <f>0</f>
        <v>0</v>
      </c>
      <c r="AS25" s="11">
        <v>0</v>
      </c>
      <c r="AT25" s="11">
        <v>1</v>
      </c>
      <c r="AU25" s="11">
        <v>1</v>
      </c>
      <c r="AV25" s="11">
        <v>1</v>
      </c>
      <c r="AW25" s="11">
        <v>1</v>
      </c>
      <c r="AX25" s="11">
        <v>0</v>
      </c>
      <c r="AY25" s="11">
        <v>0</v>
      </c>
      <c r="AZ25" s="11">
        <v>0</v>
      </c>
      <c r="BA25" s="11">
        <v>0</v>
      </c>
      <c r="BB25" s="11">
        <v>0</v>
      </c>
      <c r="BC25" s="11">
        <v>0</v>
      </c>
      <c r="BD25" s="11">
        <v>0</v>
      </c>
      <c r="BE25" s="11">
        <v>0</v>
      </c>
      <c r="BF25" s="11">
        <v>0</v>
      </c>
      <c r="BG25" s="11">
        <v>1</v>
      </c>
      <c r="BH25" s="11">
        <v>1</v>
      </c>
      <c r="BI25" s="11">
        <v>1</v>
      </c>
      <c r="BJ25" s="11">
        <v>1</v>
      </c>
      <c r="BK25" s="11">
        <v>1</v>
      </c>
      <c r="BL25" s="11">
        <v>1653.508</v>
      </c>
      <c r="BM25" s="11">
        <v>1089.894</v>
      </c>
      <c r="BN25" s="11">
        <v>18.224620000000002</v>
      </c>
      <c r="BO25" s="11">
        <v>10.122730000000001</v>
      </c>
      <c r="BP25" s="11">
        <v>1048</v>
      </c>
      <c r="BQ25" s="11">
        <v>1151</v>
      </c>
      <c r="BR25" s="11">
        <v>1</v>
      </c>
      <c r="BS25" s="11">
        <v>1</v>
      </c>
      <c r="BT25" s="11">
        <v>0</v>
      </c>
      <c r="BU25" s="11">
        <v>0</v>
      </c>
      <c r="BV25" s="11">
        <v>145</v>
      </c>
      <c r="BW25" s="11">
        <v>7511</v>
      </c>
      <c r="BX25" s="11">
        <v>1</v>
      </c>
      <c r="BY25" s="11">
        <v>9</v>
      </c>
      <c r="BZ25" s="11">
        <v>0</v>
      </c>
      <c r="CA25" s="11">
        <v>0</v>
      </c>
      <c r="CB25" s="11">
        <v>0</v>
      </c>
      <c r="CC25" s="11">
        <v>0</v>
      </c>
      <c r="CD25" s="11">
        <v>0</v>
      </c>
      <c r="CE25" s="11">
        <v>0</v>
      </c>
      <c r="CF25" s="11">
        <v>0</v>
      </c>
      <c r="CG25" s="11">
        <v>0</v>
      </c>
      <c r="CH25" s="11">
        <v>0</v>
      </c>
      <c r="CI25" s="11">
        <v>0</v>
      </c>
      <c r="CJ25" s="11">
        <v>1</v>
      </c>
      <c r="CK25" s="11">
        <v>1</v>
      </c>
      <c r="CL25" s="11">
        <v>0</v>
      </c>
      <c r="CM25" s="11">
        <v>0</v>
      </c>
      <c r="CN25" s="11">
        <v>0</v>
      </c>
      <c r="CO25" s="11">
        <v>0</v>
      </c>
      <c r="CP25" s="11">
        <v>0</v>
      </c>
      <c r="CQ25" s="11">
        <v>0</v>
      </c>
      <c r="CR25" s="11">
        <v>0</v>
      </c>
      <c r="CS25" s="11">
        <v>1</v>
      </c>
      <c r="CT25" s="11">
        <v>27.333333333333332</v>
      </c>
      <c r="CU25" s="11">
        <v>59</v>
      </c>
      <c r="CV25" s="12">
        <v>0</v>
      </c>
      <c r="CW25" s="12">
        <v>0</v>
      </c>
      <c r="CX25" s="11">
        <v>0</v>
      </c>
      <c r="CY25" s="11">
        <v>0</v>
      </c>
      <c r="CZ25" s="11">
        <v>0</v>
      </c>
      <c r="DA25" s="11">
        <v>0</v>
      </c>
      <c r="DB25" s="11">
        <v>0</v>
      </c>
      <c r="DC25" s="11">
        <v>0</v>
      </c>
      <c r="DD25" s="11">
        <v>0</v>
      </c>
      <c r="DE25" s="11">
        <v>176.33199999999999</v>
      </c>
      <c r="DF25" s="11">
        <v>465.31299999999999</v>
      </c>
      <c r="DI25" s="11">
        <v>108787.11285758173</v>
      </c>
      <c r="DJ25" s="11">
        <v>67454</v>
      </c>
      <c r="DK25" s="11">
        <v>29468</v>
      </c>
      <c r="DL25" s="11">
        <v>167997</v>
      </c>
      <c r="DM25" s="11">
        <v>271770</v>
      </c>
      <c r="DN25" s="11">
        <v>429850</v>
      </c>
      <c r="DO25" s="11">
        <v>417926</v>
      </c>
      <c r="DP25" s="11">
        <v>506928</v>
      </c>
      <c r="DQ25" s="11">
        <v>756819</v>
      </c>
      <c r="DR25" s="11">
        <v>1407165</v>
      </c>
      <c r="DS25" s="11">
        <v>1573810</v>
      </c>
      <c r="DT25" s="11">
        <v>1702298</v>
      </c>
      <c r="DU25" s="11">
        <v>2174062</v>
      </c>
      <c r="DV25" s="11">
        <v>2676919</v>
      </c>
      <c r="DW25" s="11">
        <v>3129383</v>
      </c>
      <c r="DX25" s="11">
        <v>3307084</v>
      </c>
      <c r="DY25" s="11">
        <v>3618303</v>
      </c>
      <c r="DZ25" s="11">
        <v>4027947</v>
      </c>
      <c r="EC25" s="11">
        <v>368.42500000000001</v>
      </c>
      <c r="ED25" s="11">
        <v>138.76249999999999</v>
      </c>
      <c r="EE25" s="11">
        <f t="shared" si="1"/>
        <v>0</v>
      </c>
      <c r="EF25" s="11">
        <v>1</v>
      </c>
      <c r="EG25" s="11">
        <v>0</v>
      </c>
      <c r="EH25" s="11">
        <v>0</v>
      </c>
      <c r="EI25" s="11">
        <v>0</v>
      </c>
      <c r="EJ25" s="11">
        <v>1</v>
      </c>
      <c r="EK25" s="11">
        <v>0</v>
      </c>
      <c r="EL25" s="11">
        <v>0</v>
      </c>
      <c r="EM25" s="11">
        <v>0</v>
      </c>
      <c r="EN25" s="11">
        <v>0</v>
      </c>
      <c r="EO25" s="11">
        <v>0</v>
      </c>
      <c r="EP25" s="11">
        <v>0</v>
      </c>
      <c r="EQ25" s="11">
        <v>0.31850187265917601</v>
      </c>
      <c r="ER25" s="11">
        <v>0.31977528089887641</v>
      </c>
      <c r="ES25" s="11">
        <v>0.1752808988764045</v>
      </c>
      <c r="ET25" s="11">
        <v>8.3295880149812734E-2</v>
      </c>
      <c r="EU25" s="11">
        <v>0.62039521472938308</v>
      </c>
      <c r="EV25" s="11">
        <v>3.5934296999999997</v>
      </c>
    </row>
    <row r="26" spans="1:152" x14ac:dyDescent="0.2">
      <c r="A26" s="11">
        <v>59</v>
      </c>
      <c r="B26" s="11">
        <v>24</v>
      </c>
      <c r="C26" s="11" t="s">
        <v>62</v>
      </c>
      <c r="D26" s="11">
        <v>1463</v>
      </c>
      <c r="E26" s="11">
        <v>1549.9753218497194</v>
      </c>
      <c r="F26" s="11">
        <v>1377.6445168347539</v>
      </c>
      <c r="G26" s="11">
        <v>1351</v>
      </c>
      <c r="H26" s="11">
        <v>1286</v>
      </c>
      <c r="I26" s="11">
        <v>1208</v>
      </c>
      <c r="J26" s="11">
        <v>1120</v>
      </c>
      <c r="K26" s="11">
        <v>972</v>
      </c>
      <c r="L26" s="11">
        <v>871.98713826366566</v>
      </c>
      <c r="M26" s="11">
        <v>793.85209003215436</v>
      </c>
      <c r="N26" s="11">
        <v>2E-3</v>
      </c>
      <c r="O26" s="11">
        <f t="shared" si="0"/>
        <v>0</v>
      </c>
      <c r="P26" s="11">
        <v>0</v>
      </c>
      <c r="Q26" s="11">
        <v>0</v>
      </c>
      <c r="R26" s="11">
        <v>0</v>
      </c>
      <c r="S26" s="11">
        <v>1</v>
      </c>
      <c r="T26" s="11">
        <v>0</v>
      </c>
      <c r="U26" s="11">
        <v>0</v>
      </c>
      <c r="V26" s="11">
        <v>1</v>
      </c>
      <c r="W26" s="11">
        <v>0</v>
      </c>
      <c r="X26" s="11">
        <v>59</v>
      </c>
      <c r="Y26" s="11">
        <v>83</v>
      </c>
      <c r="Z26" s="11">
        <v>457</v>
      </c>
      <c r="AA26" s="11">
        <v>0</v>
      </c>
      <c r="AB26" s="11">
        <v>0</v>
      </c>
      <c r="AC26" s="11">
        <f>1+25/60</f>
        <v>1.4166666666666667</v>
      </c>
      <c r="AD26" s="11">
        <f>7+20/60</f>
        <v>7.333333333333333</v>
      </c>
      <c r="AG26" s="11">
        <v>56</v>
      </c>
      <c r="AH26" s="11">
        <v>282</v>
      </c>
      <c r="AK26" s="11">
        <v>59</v>
      </c>
      <c r="AL26" s="11">
        <v>290</v>
      </c>
      <c r="AO26" s="11">
        <f>0</f>
        <v>0</v>
      </c>
      <c r="AP26" s="11">
        <f>0</f>
        <v>0</v>
      </c>
      <c r="AQ26" s="11">
        <f>0</f>
        <v>0</v>
      </c>
      <c r="AR26" s="11">
        <f>0</f>
        <v>0</v>
      </c>
      <c r="AS26" s="11">
        <v>0</v>
      </c>
      <c r="AT26" s="11">
        <v>0</v>
      </c>
      <c r="AU26" s="11">
        <v>0</v>
      </c>
      <c r="AV26" s="11">
        <v>0</v>
      </c>
      <c r="AW26" s="11">
        <v>0</v>
      </c>
      <c r="AX26" s="11">
        <v>0</v>
      </c>
      <c r="AY26" s="11">
        <v>0</v>
      </c>
      <c r="AZ26" s="11">
        <v>0</v>
      </c>
      <c r="BA26" s="11">
        <v>0</v>
      </c>
      <c r="BB26" s="11">
        <v>0</v>
      </c>
      <c r="BC26" s="11">
        <v>0</v>
      </c>
      <c r="BD26" s="11">
        <v>0</v>
      </c>
      <c r="BE26" s="11">
        <v>0</v>
      </c>
      <c r="BF26" s="11">
        <v>0</v>
      </c>
      <c r="BG26" s="11">
        <v>0</v>
      </c>
      <c r="BH26" s="11">
        <v>0</v>
      </c>
      <c r="BI26" s="11">
        <v>0</v>
      </c>
      <c r="BJ26" s="11">
        <v>0</v>
      </c>
      <c r="BK26" s="11">
        <v>0</v>
      </c>
      <c r="BL26" s="11">
        <v>1653.508</v>
      </c>
      <c r="BM26" s="11">
        <v>1089.894</v>
      </c>
      <c r="BN26" s="11">
        <v>19.667120000000001</v>
      </c>
      <c r="BO26" s="11">
        <v>10.17329</v>
      </c>
      <c r="BP26" s="11">
        <v>0</v>
      </c>
      <c r="BQ26" s="11">
        <v>35</v>
      </c>
      <c r="BR26" s="11">
        <v>1</v>
      </c>
      <c r="BS26" s="11">
        <v>1</v>
      </c>
      <c r="BT26" s="11">
        <v>0</v>
      </c>
      <c r="BU26" s="11">
        <v>0</v>
      </c>
      <c r="BV26" s="11">
        <v>0</v>
      </c>
      <c r="BW26" s="11">
        <v>0</v>
      </c>
      <c r="BX26" s="11">
        <v>0</v>
      </c>
      <c r="BY26" s="11">
        <v>0</v>
      </c>
      <c r="BZ26" s="11">
        <v>0</v>
      </c>
      <c r="CA26" s="11">
        <v>0</v>
      </c>
      <c r="CB26" s="11">
        <v>0</v>
      </c>
      <c r="CC26" s="11">
        <v>0</v>
      </c>
      <c r="CD26" s="11">
        <v>0</v>
      </c>
      <c r="CE26" s="11">
        <v>0</v>
      </c>
      <c r="CF26" s="11">
        <v>0</v>
      </c>
      <c r="CG26" s="11">
        <v>0</v>
      </c>
      <c r="CH26" s="11">
        <v>0</v>
      </c>
      <c r="CI26" s="11">
        <v>0</v>
      </c>
      <c r="CJ26" s="11">
        <v>0</v>
      </c>
      <c r="CK26" s="11">
        <v>0</v>
      </c>
      <c r="CL26" s="11">
        <v>0</v>
      </c>
      <c r="CM26" s="11">
        <v>0</v>
      </c>
      <c r="CN26" s="11">
        <v>0</v>
      </c>
      <c r="CO26" s="11">
        <v>0</v>
      </c>
      <c r="CP26" s="11">
        <v>0</v>
      </c>
      <c r="CQ26" s="11">
        <v>0</v>
      </c>
      <c r="CR26" s="11">
        <v>0</v>
      </c>
      <c r="CS26" s="11">
        <v>1</v>
      </c>
      <c r="CT26" s="11">
        <v>64.666666666666671</v>
      </c>
      <c r="CU26" s="11">
        <v>33.333333333333336</v>
      </c>
      <c r="CV26" s="12">
        <v>0</v>
      </c>
      <c r="CW26" s="12">
        <v>0</v>
      </c>
      <c r="CX26" s="11">
        <v>0</v>
      </c>
      <c r="CY26" s="11">
        <v>0</v>
      </c>
      <c r="CZ26" s="11">
        <v>0</v>
      </c>
      <c r="DA26" s="11">
        <v>0</v>
      </c>
      <c r="DB26" s="11">
        <v>0</v>
      </c>
      <c r="DC26" s="11">
        <v>0</v>
      </c>
      <c r="DD26" s="11">
        <v>0</v>
      </c>
      <c r="DE26" s="11">
        <v>67.784000000000006</v>
      </c>
      <c r="DF26" s="11">
        <v>376.774</v>
      </c>
      <c r="DI26" s="11">
        <v>108787.11285758173</v>
      </c>
      <c r="DJ26" s="11">
        <v>67454</v>
      </c>
      <c r="DK26" s="11">
        <v>29468</v>
      </c>
      <c r="DL26" s="11">
        <v>167997</v>
      </c>
      <c r="DM26" s="11">
        <v>271770</v>
      </c>
      <c r="DN26" s="11">
        <v>429850</v>
      </c>
      <c r="DO26" s="11">
        <v>417926</v>
      </c>
      <c r="DP26" s="11">
        <v>506928</v>
      </c>
      <c r="DQ26" s="11">
        <v>756819</v>
      </c>
      <c r="DR26" s="11">
        <v>1407165</v>
      </c>
      <c r="DS26" s="11">
        <v>1573810</v>
      </c>
      <c r="DT26" s="11">
        <v>1702298</v>
      </c>
      <c r="DU26" s="11">
        <v>2174062</v>
      </c>
      <c r="DV26" s="11">
        <v>2676919</v>
      </c>
      <c r="DW26" s="11">
        <v>3129383</v>
      </c>
      <c r="DX26" s="11">
        <v>3307084</v>
      </c>
      <c r="DY26" s="11">
        <v>3618303</v>
      </c>
      <c r="DZ26" s="11">
        <v>4027947</v>
      </c>
      <c r="EC26" s="11">
        <v>285.85000000000002</v>
      </c>
      <c r="ED26" s="11">
        <v>55.1875</v>
      </c>
      <c r="EE26" s="11">
        <f t="shared" si="1"/>
        <v>0</v>
      </c>
      <c r="EF26" s="11">
        <v>1</v>
      </c>
      <c r="EG26" s="11">
        <v>0</v>
      </c>
      <c r="EH26" s="11">
        <v>0</v>
      </c>
      <c r="EI26" s="11">
        <v>0</v>
      </c>
      <c r="EJ26" s="11">
        <v>1</v>
      </c>
      <c r="EK26" s="11">
        <v>0</v>
      </c>
      <c r="EL26" s="11">
        <v>0</v>
      </c>
      <c r="EM26" s="11">
        <v>0</v>
      </c>
      <c r="EN26" s="11">
        <v>0</v>
      </c>
      <c r="EO26" s="11">
        <v>0</v>
      </c>
      <c r="EP26" s="11">
        <v>0</v>
      </c>
      <c r="EQ26" s="11">
        <v>0.33287165281625114</v>
      </c>
      <c r="ER26" s="11">
        <v>0.34325946445060018</v>
      </c>
      <c r="ES26" s="11">
        <v>0.16874422899353647</v>
      </c>
      <c r="ET26" s="11">
        <v>6.209602954755309E-2</v>
      </c>
      <c r="EU26" s="11">
        <v>0.62039521472938308</v>
      </c>
      <c r="EV26" s="11">
        <v>3.3381552000000001</v>
      </c>
    </row>
    <row r="27" spans="1:152" x14ac:dyDescent="0.2">
      <c r="A27" s="11">
        <v>15</v>
      </c>
      <c r="B27" s="11">
        <v>25</v>
      </c>
      <c r="C27" s="11" t="s">
        <v>14</v>
      </c>
      <c r="D27" s="11">
        <v>0</v>
      </c>
      <c r="J27" s="11">
        <v>14973</v>
      </c>
      <c r="K27" s="11">
        <v>23203</v>
      </c>
      <c r="L27" s="11">
        <v>30004</v>
      </c>
      <c r="M27" s="11">
        <v>37347</v>
      </c>
      <c r="N27" s="11">
        <v>7.0000000000000001E-3</v>
      </c>
      <c r="O27" s="11">
        <f t="shared" si="0"/>
        <v>1</v>
      </c>
      <c r="P27" s="11">
        <v>0</v>
      </c>
      <c r="Q27" s="11">
        <v>0</v>
      </c>
      <c r="R27" s="11">
        <v>1</v>
      </c>
      <c r="S27" s="11">
        <v>0</v>
      </c>
      <c r="T27" s="11">
        <v>0</v>
      </c>
      <c r="U27" s="11">
        <v>1</v>
      </c>
      <c r="V27" s="11">
        <v>1</v>
      </c>
      <c r="W27" s="11">
        <v>0</v>
      </c>
      <c r="X27" s="11">
        <v>41</v>
      </c>
      <c r="AE27" s="11">
        <f>50/60</f>
        <v>0.83333333333333337</v>
      </c>
      <c r="AF27" s="11">
        <f>9+45/60</f>
        <v>9.75</v>
      </c>
      <c r="AI27" s="11">
        <v>41</v>
      </c>
      <c r="AJ27" s="11">
        <v>385</v>
      </c>
      <c r="AM27" s="11">
        <v>41</v>
      </c>
      <c r="AN27" s="11">
        <v>392</v>
      </c>
      <c r="AO27" s="11">
        <f>0</f>
        <v>0</v>
      </c>
      <c r="AP27" s="11">
        <f>0</f>
        <v>0</v>
      </c>
      <c r="AQ27" s="11">
        <f>0</f>
        <v>0</v>
      </c>
      <c r="AR27" s="11">
        <f>0</f>
        <v>0</v>
      </c>
      <c r="AS27" s="11">
        <v>0</v>
      </c>
      <c r="AT27" s="11">
        <v>0</v>
      </c>
      <c r="AU27" s="11">
        <v>0</v>
      </c>
      <c r="AV27" s="11">
        <v>0</v>
      </c>
      <c r="AW27" s="11">
        <v>0</v>
      </c>
      <c r="AX27" s="11">
        <v>0</v>
      </c>
      <c r="AY27" s="11">
        <v>0</v>
      </c>
      <c r="AZ27" s="11">
        <v>0</v>
      </c>
      <c r="BA27" s="11">
        <v>0</v>
      </c>
      <c r="BB27" s="11">
        <v>0</v>
      </c>
      <c r="BC27" s="11">
        <v>0</v>
      </c>
      <c r="BD27" s="11">
        <v>0</v>
      </c>
      <c r="BE27" s="11">
        <v>0</v>
      </c>
      <c r="BF27" s="11">
        <v>0</v>
      </c>
      <c r="BG27" s="11">
        <v>0</v>
      </c>
      <c r="BH27" s="11">
        <v>0</v>
      </c>
      <c r="BI27" s="11">
        <v>0</v>
      </c>
      <c r="BJ27" s="11">
        <v>0</v>
      </c>
      <c r="BK27" s="11">
        <v>0</v>
      </c>
      <c r="BL27" s="11">
        <v>2065.9206349206347</v>
      </c>
      <c r="BM27" s="11">
        <v>1032.6679999999999</v>
      </c>
      <c r="BN27" s="11">
        <v>20.815300000000001</v>
      </c>
      <c r="BO27" s="11">
        <v>12.94699</v>
      </c>
      <c r="BP27" s="11">
        <v>0</v>
      </c>
      <c r="BQ27" s="11">
        <v>0</v>
      </c>
      <c r="BR27" s="11">
        <v>0</v>
      </c>
      <c r="BS27" s="11">
        <v>0</v>
      </c>
      <c r="BT27" s="11">
        <v>0</v>
      </c>
      <c r="BU27" s="11">
        <v>0</v>
      </c>
      <c r="BV27" s="11">
        <v>0</v>
      </c>
      <c r="BW27" s="11">
        <v>0</v>
      </c>
      <c r="BX27" s="11">
        <v>0</v>
      </c>
      <c r="BY27" s="11">
        <v>0</v>
      </c>
      <c r="BZ27" s="11">
        <v>0</v>
      </c>
      <c r="CA27" s="11">
        <v>0</v>
      </c>
      <c r="CB27" s="11">
        <v>0</v>
      </c>
      <c r="CC27" s="11">
        <v>0</v>
      </c>
      <c r="CD27" s="11">
        <v>0</v>
      </c>
      <c r="CE27" s="11">
        <v>0</v>
      </c>
      <c r="CF27" s="11">
        <v>0</v>
      </c>
      <c r="CG27" s="11">
        <v>0</v>
      </c>
      <c r="CH27" s="11">
        <v>0</v>
      </c>
      <c r="CI27" s="11">
        <v>0</v>
      </c>
      <c r="CJ27" s="11">
        <v>0</v>
      </c>
      <c r="CK27" s="11">
        <v>0</v>
      </c>
      <c r="CL27" s="11">
        <v>0</v>
      </c>
      <c r="CM27" s="11">
        <v>0</v>
      </c>
      <c r="CN27" s="11">
        <v>0</v>
      </c>
      <c r="CO27" s="11">
        <v>0</v>
      </c>
      <c r="CP27" s="11">
        <v>0</v>
      </c>
      <c r="CQ27" s="11">
        <v>0</v>
      </c>
      <c r="CR27" s="11">
        <v>0</v>
      </c>
      <c r="CS27" s="11">
        <v>1</v>
      </c>
      <c r="CT27" s="11">
        <v>30</v>
      </c>
      <c r="CU27" s="11">
        <v>26.333333333333332</v>
      </c>
      <c r="CV27" s="12">
        <v>0</v>
      </c>
      <c r="CW27" s="12">
        <v>0</v>
      </c>
      <c r="CX27" s="11">
        <v>0</v>
      </c>
      <c r="CY27" s="11">
        <v>0</v>
      </c>
      <c r="CZ27" s="11">
        <v>0</v>
      </c>
      <c r="DA27" s="11">
        <v>0</v>
      </c>
      <c r="DB27" s="11">
        <v>0</v>
      </c>
      <c r="DC27" s="11">
        <v>0</v>
      </c>
      <c r="DD27" s="11">
        <v>0</v>
      </c>
      <c r="DG27" s="11">
        <v>444.62299999999999</v>
      </c>
      <c r="DH27" s="11">
        <v>49.634</v>
      </c>
      <c r="DI27" s="11">
        <v>108787.11285758173</v>
      </c>
      <c r="DJ27" s="11">
        <v>67454</v>
      </c>
      <c r="DK27" s="11">
        <v>29468</v>
      </c>
      <c r="DL27" s="11">
        <v>167997</v>
      </c>
      <c r="DM27" s="11">
        <v>271770</v>
      </c>
      <c r="DN27" s="11">
        <v>429850</v>
      </c>
      <c r="DO27" s="11">
        <v>417926</v>
      </c>
      <c r="DP27" s="11">
        <v>506928</v>
      </c>
      <c r="DQ27" s="11">
        <v>756819</v>
      </c>
      <c r="DR27" s="11">
        <v>1407165</v>
      </c>
      <c r="DS27" s="11">
        <v>1573810</v>
      </c>
      <c r="DT27" s="11">
        <v>1702298</v>
      </c>
      <c r="DU27" s="11">
        <v>2174062</v>
      </c>
      <c r="DV27" s="11">
        <v>2676919</v>
      </c>
      <c r="DW27" s="11">
        <v>3129383</v>
      </c>
      <c r="DX27" s="11">
        <v>3307084</v>
      </c>
      <c r="DY27" s="11">
        <v>3618303</v>
      </c>
      <c r="DZ27" s="11">
        <v>4027947</v>
      </c>
      <c r="EA27" s="11">
        <v>398.38749999999999</v>
      </c>
      <c r="EB27" s="11">
        <v>30.324999999999999</v>
      </c>
      <c r="EE27" s="11">
        <f t="shared" si="1"/>
        <v>0</v>
      </c>
      <c r="EF27" s="11">
        <v>0</v>
      </c>
      <c r="EG27" s="11">
        <v>0</v>
      </c>
      <c r="EH27" s="11">
        <v>0</v>
      </c>
      <c r="EI27" s="11">
        <v>1</v>
      </c>
      <c r="EJ27" s="11">
        <v>0</v>
      </c>
      <c r="EK27" s="11">
        <v>0</v>
      </c>
      <c r="EL27" s="11">
        <v>0</v>
      </c>
      <c r="EM27" s="11">
        <v>0</v>
      </c>
      <c r="EN27" s="11">
        <v>0</v>
      </c>
      <c r="EO27" s="11">
        <v>1</v>
      </c>
      <c r="EP27" s="11">
        <v>0</v>
      </c>
      <c r="EQ27" s="11">
        <v>0.22201642776614591</v>
      </c>
      <c r="ER27" s="11">
        <v>0.35303591560637781</v>
      </c>
      <c r="ES27" s="11">
        <v>0.20470285070059591</v>
      </c>
      <c r="ET27" s="11">
        <v>0.12828152681591237</v>
      </c>
      <c r="EV27" s="11">
        <v>1.7364287000000003</v>
      </c>
    </row>
    <row r="28" spans="1:152" x14ac:dyDescent="0.2">
      <c r="A28" s="11">
        <v>23</v>
      </c>
      <c r="B28" s="11">
        <v>26</v>
      </c>
      <c r="C28" s="11" t="s">
        <v>22</v>
      </c>
      <c r="D28" s="11">
        <v>0</v>
      </c>
      <c r="E28" s="11">
        <v>2936.2216366182956</v>
      </c>
      <c r="F28" s="11">
        <v>3304.1816723672437</v>
      </c>
      <c r="G28" s="11">
        <v>4021.1581207704321</v>
      </c>
      <c r="H28" s="11">
        <v>8005.3003643935454</v>
      </c>
      <c r="I28" s="11">
        <v>14068.501041124415</v>
      </c>
      <c r="J28" s="11">
        <v>18210.577693909421</v>
      </c>
      <c r="K28" s="11">
        <v>18962</v>
      </c>
      <c r="L28" s="11">
        <v>19357.533623910338</v>
      </c>
      <c r="M28" s="11">
        <v>19171.573785803237</v>
      </c>
      <c r="N28" s="11">
        <v>7.0000000000000001E-3</v>
      </c>
      <c r="O28" s="11">
        <f t="shared" si="0"/>
        <v>1</v>
      </c>
      <c r="P28" s="11">
        <v>0</v>
      </c>
      <c r="Q28" s="11">
        <v>0</v>
      </c>
      <c r="R28" s="11">
        <v>1</v>
      </c>
      <c r="S28" s="11">
        <v>0</v>
      </c>
      <c r="T28" s="11">
        <v>0</v>
      </c>
      <c r="U28" s="11">
        <v>1</v>
      </c>
      <c r="V28" s="11">
        <v>1</v>
      </c>
      <c r="W28" s="11">
        <v>0</v>
      </c>
      <c r="X28" s="11">
        <v>64</v>
      </c>
      <c r="Y28" s="11">
        <v>0</v>
      </c>
      <c r="Z28" s="11">
        <v>0</v>
      </c>
      <c r="AA28" s="11">
        <v>93</v>
      </c>
      <c r="AB28" s="11">
        <v>554</v>
      </c>
      <c r="AE28" s="11">
        <f>1+40/60</f>
        <v>1.6666666666666665</v>
      </c>
      <c r="AF28" s="11">
        <f>8+55/60</f>
        <v>8.9166666666666661</v>
      </c>
      <c r="AI28" s="11">
        <v>62</v>
      </c>
      <c r="AJ28" s="11">
        <v>362</v>
      </c>
      <c r="AM28" s="11">
        <v>64</v>
      </c>
      <c r="AN28" s="11">
        <v>369</v>
      </c>
      <c r="AO28" s="11">
        <f>0</f>
        <v>0</v>
      </c>
      <c r="AP28" s="11">
        <f>0</f>
        <v>0</v>
      </c>
      <c r="AQ28" s="11">
        <f>0</f>
        <v>0</v>
      </c>
      <c r="AR28" s="11">
        <f>0</f>
        <v>0</v>
      </c>
      <c r="AS28" s="11">
        <v>0</v>
      </c>
      <c r="AT28" s="11">
        <v>0</v>
      </c>
      <c r="AU28" s="11">
        <v>0</v>
      </c>
      <c r="AV28" s="11">
        <v>0</v>
      </c>
      <c r="AW28" s="11">
        <v>0</v>
      </c>
      <c r="AX28" s="11">
        <v>0</v>
      </c>
      <c r="AY28" s="11">
        <v>0</v>
      </c>
      <c r="AZ28" s="11">
        <v>0</v>
      </c>
      <c r="BA28" s="11">
        <v>0</v>
      </c>
      <c r="BB28" s="11">
        <v>0</v>
      </c>
      <c r="BC28" s="11">
        <v>0</v>
      </c>
      <c r="BD28" s="11">
        <v>0</v>
      </c>
      <c r="BE28" s="11">
        <v>0</v>
      </c>
      <c r="BF28" s="11">
        <v>0</v>
      </c>
      <c r="BG28" s="11">
        <v>0</v>
      </c>
      <c r="BH28" s="11">
        <v>0</v>
      </c>
      <c r="BI28" s="11">
        <v>0</v>
      </c>
      <c r="BJ28" s="11">
        <v>0</v>
      </c>
      <c r="BK28" s="11">
        <v>0</v>
      </c>
      <c r="BL28" s="11">
        <v>1846.0260000000001</v>
      </c>
      <c r="BM28" s="11">
        <v>1084.258</v>
      </c>
      <c r="BN28" s="11">
        <v>22.024760000000001</v>
      </c>
      <c r="BO28" s="11">
        <v>17.60389</v>
      </c>
      <c r="BP28" s="11">
        <v>0</v>
      </c>
      <c r="BQ28" s="11">
        <v>0</v>
      </c>
      <c r="BR28" s="11">
        <v>0</v>
      </c>
      <c r="BS28" s="11">
        <v>0</v>
      </c>
      <c r="BT28" s="11">
        <v>0</v>
      </c>
      <c r="BU28" s="11">
        <v>0</v>
      </c>
      <c r="BV28" s="11">
        <v>0</v>
      </c>
      <c r="BW28" s="11">
        <v>0</v>
      </c>
      <c r="BX28" s="11">
        <v>0</v>
      </c>
      <c r="BY28" s="11">
        <v>0</v>
      </c>
      <c r="BZ28" s="11">
        <v>0</v>
      </c>
      <c r="CA28" s="11">
        <v>0</v>
      </c>
      <c r="CB28" s="11">
        <v>0</v>
      </c>
      <c r="CC28" s="11">
        <v>0</v>
      </c>
      <c r="CD28" s="11">
        <v>0</v>
      </c>
      <c r="CE28" s="11">
        <v>0</v>
      </c>
      <c r="CF28" s="11">
        <v>0</v>
      </c>
      <c r="CG28" s="11">
        <v>0</v>
      </c>
      <c r="CH28" s="11">
        <v>0</v>
      </c>
      <c r="CI28" s="11">
        <v>0</v>
      </c>
      <c r="CJ28" s="11">
        <v>0</v>
      </c>
      <c r="CK28" s="11">
        <v>0</v>
      </c>
      <c r="CL28" s="11">
        <v>0</v>
      </c>
      <c r="CM28" s="11">
        <v>0</v>
      </c>
      <c r="CN28" s="11">
        <v>0</v>
      </c>
      <c r="CO28" s="11">
        <v>0</v>
      </c>
      <c r="CP28" s="11">
        <v>0</v>
      </c>
      <c r="CQ28" s="11">
        <v>0</v>
      </c>
      <c r="CR28" s="11">
        <v>0</v>
      </c>
      <c r="CS28" s="11">
        <v>1</v>
      </c>
      <c r="CT28" s="11">
        <v>44.666666666666664</v>
      </c>
      <c r="CU28" s="11">
        <v>41.666666666666664</v>
      </c>
      <c r="CV28" s="12">
        <v>0</v>
      </c>
      <c r="CW28" s="12">
        <v>0</v>
      </c>
      <c r="CX28" s="11">
        <v>0</v>
      </c>
      <c r="CY28" s="11">
        <v>0</v>
      </c>
      <c r="CZ28" s="11">
        <v>0</v>
      </c>
      <c r="DA28" s="11">
        <v>0</v>
      </c>
      <c r="DB28" s="11">
        <v>0</v>
      </c>
      <c r="DC28" s="11">
        <v>0</v>
      </c>
      <c r="DD28" s="11">
        <v>0</v>
      </c>
      <c r="DG28" s="11">
        <v>421.387</v>
      </c>
      <c r="DH28" s="11">
        <v>85.347999999999999</v>
      </c>
      <c r="DI28" s="11">
        <v>108787.11285758173</v>
      </c>
      <c r="DJ28" s="11">
        <v>67454</v>
      </c>
      <c r="DK28" s="11">
        <v>29468</v>
      </c>
      <c r="DL28" s="11">
        <v>167997</v>
      </c>
      <c r="DM28" s="11">
        <v>271770</v>
      </c>
      <c r="DN28" s="11">
        <v>429850</v>
      </c>
      <c r="DO28" s="11">
        <v>417926</v>
      </c>
      <c r="DP28" s="11">
        <v>506928</v>
      </c>
      <c r="DQ28" s="11">
        <v>756819</v>
      </c>
      <c r="DR28" s="11">
        <v>1407165</v>
      </c>
      <c r="DS28" s="11">
        <v>1573810</v>
      </c>
      <c r="DT28" s="11">
        <v>1702298</v>
      </c>
      <c r="DU28" s="11">
        <v>2174062</v>
      </c>
      <c r="DV28" s="11">
        <v>2676919</v>
      </c>
      <c r="DW28" s="11">
        <v>3129383</v>
      </c>
      <c r="DX28" s="11">
        <v>3307084</v>
      </c>
      <c r="DY28" s="11">
        <v>3618303</v>
      </c>
      <c r="DZ28" s="11">
        <v>4027947</v>
      </c>
      <c r="EA28" s="11">
        <v>355</v>
      </c>
      <c r="EB28" s="11">
        <v>62</v>
      </c>
      <c r="EE28" s="11">
        <f t="shared" si="1"/>
        <v>0</v>
      </c>
      <c r="EF28" s="11">
        <v>0</v>
      </c>
      <c r="EG28" s="11">
        <v>0</v>
      </c>
      <c r="EH28" s="11">
        <v>0</v>
      </c>
      <c r="EI28" s="11">
        <v>1</v>
      </c>
      <c r="EJ28" s="11">
        <v>0</v>
      </c>
      <c r="EK28" s="11">
        <v>0</v>
      </c>
      <c r="EL28" s="11">
        <v>0</v>
      </c>
      <c r="EM28" s="11">
        <v>0</v>
      </c>
      <c r="EN28" s="11">
        <v>0</v>
      </c>
      <c r="EO28" s="11">
        <v>1</v>
      </c>
      <c r="EP28" s="11">
        <v>0</v>
      </c>
      <c r="EQ28" s="11">
        <v>0.35267857142857145</v>
      </c>
      <c r="ER28" s="11">
        <v>0.30739795918367346</v>
      </c>
      <c r="ES28" s="11">
        <v>0.16594387755102041</v>
      </c>
      <c r="ET28" s="11">
        <v>5.7525510204081635E-2</v>
      </c>
      <c r="EU28" s="11">
        <v>9.414196123147093</v>
      </c>
      <c r="EV28" s="11">
        <v>3.2189909999999999</v>
      </c>
    </row>
    <row r="29" spans="1:152" x14ac:dyDescent="0.2">
      <c r="A29" s="11">
        <v>44</v>
      </c>
      <c r="B29" s="11">
        <v>27</v>
      </c>
      <c r="C29" s="11" t="s">
        <v>46</v>
      </c>
      <c r="D29" s="11">
        <v>1101</v>
      </c>
      <c r="E29" s="11">
        <v>2783.0954321418872</v>
      </c>
      <c r="F29" s="11">
        <v>2810.8236892148875</v>
      </c>
      <c r="G29" s="11">
        <v>2915</v>
      </c>
      <c r="H29" s="11">
        <v>4001</v>
      </c>
      <c r="I29" s="11">
        <v>4731</v>
      </c>
      <c r="J29" s="11">
        <v>4910</v>
      </c>
      <c r="K29" s="11">
        <v>5059</v>
      </c>
      <c r="L29" s="11">
        <v>4847.0890855457228</v>
      </c>
      <c r="M29" s="11">
        <v>4226.2796460176987</v>
      </c>
      <c r="N29" s="11">
        <v>2.5999999999999999E-2</v>
      </c>
      <c r="O29" s="11">
        <f t="shared" si="0"/>
        <v>0</v>
      </c>
      <c r="P29" s="11">
        <v>0</v>
      </c>
      <c r="Q29" s="11">
        <v>0</v>
      </c>
      <c r="R29" s="11">
        <v>0</v>
      </c>
      <c r="S29" s="11">
        <v>1</v>
      </c>
      <c r="T29" s="11">
        <v>0</v>
      </c>
      <c r="U29" s="11">
        <v>1</v>
      </c>
      <c r="V29" s="11">
        <v>1</v>
      </c>
      <c r="W29" s="11">
        <v>0</v>
      </c>
      <c r="X29" s="11">
        <v>24</v>
      </c>
      <c r="Y29" s="11">
        <v>0</v>
      </c>
      <c r="Z29" s="11">
        <v>0</v>
      </c>
      <c r="AA29" s="11">
        <v>163</v>
      </c>
      <c r="AB29" s="11">
        <v>491</v>
      </c>
      <c r="AE29" s="11">
        <f>2+45/60</f>
        <v>2.75</v>
      </c>
      <c r="AF29" s="11">
        <f>8+55/60</f>
        <v>8.9166666666666661</v>
      </c>
      <c r="AI29" s="11">
        <v>107</v>
      </c>
      <c r="AJ29" s="11">
        <v>319</v>
      </c>
      <c r="AM29" s="11">
        <v>109</v>
      </c>
      <c r="AN29" s="11">
        <v>324</v>
      </c>
      <c r="AO29" s="11">
        <f>0</f>
        <v>0</v>
      </c>
      <c r="AP29" s="11">
        <f>0</f>
        <v>0</v>
      </c>
      <c r="AQ29" s="11">
        <f>0</f>
        <v>0</v>
      </c>
      <c r="AR29" s="11">
        <f>0</f>
        <v>0</v>
      </c>
      <c r="AS29" s="11">
        <v>0</v>
      </c>
      <c r="AT29" s="11">
        <v>0</v>
      </c>
      <c r="AU29" s="11">
        <v>0</v>
      </c>
      <c r="AV29" s="11">
        <v>0</v>
      </c>
      <c r="AW29" s="11">
        <v>0</v>
      </c>
      <c r="AX29" s="11">
        <v>0</v>
      </c>
      <c r="AY29" s="11">
        <v>0</v>
      </c>
      <c r="AZ29" s="11">
        <v>0</v>
      </c>
      <c r="BA29" s="11">
        <v>0</v>
      </c>
      <c r="BB29" s="11">
        <v>0</v>
      </c>
      <c r="BC29" s="11">
        <v>0</v>
      </c>
      <c r="BD29" s="11">
        <v>0</v>
      </c>
      <c r="BE29" s="11">
        <v>0</v>
      </c>
      <c r="BF29" s="11">
        <v>0</v>
      </c>
      <c r="BG29" s="11">
        <v>0</v>
      </c>
      <c r="BH29" s="11">
        <v>0</v>
      </c>
      <c r="BI29" s="11">
        <v>0</v>
      </c>
      <c r="BJ29" s="11">
        <v>0</v>
      </c>
      <c r="BK29" s="11">
        <v>0</v>
      </c>
      <c r="BL29" s="11">
        <v>2080.2620000000002</v>
      </c>
      <c r="BM29" s="11">
        <v>1053.0519999999999</v>
      </c>
      <c r="BN29" s="11">
        <v>21.00526</v>
      </c>
      <c r="BO29" s="11">
        <v>11.84746</v>
      </c>
      <c r="BP29" s="11">
        <v>0</v>
      </c>
      <c r="BQ29" s="11">
        <v>0</v>
      </c>
      <c r="BR29" s="11">
        <v>0</v>
      </c>
      <c r="BS29" s="11">
        <v>0</v>
      </c>
      <c r="BT29" s="11">
        <v>0</v>
      </c>
      <c r="BU29" s="11">
        <v>0</v>
      </c>
      <c r="BV29" s="11">
        <v>0</v>
      </c>
      <c r="BW29" s="11">
        <v>0</v>
      </c>
      <c r="BX29" s="11">
        <v>0</v>
      </c>
      <c r="BY29" s="11">
        <v>0</v>
      </c>
      <c r="BZ29" s="11">
        <v>0</v>
      </c>
      <c r="CA29" s="11">
        <v>0</v>
      </c>
      <c r="CB29" s="11">
        <v>0</v>
      </c>
      <c r="CC29" s="11">
        <v>0</v>
      </c>
      <c r="CD29" s="11">
        <v>0</v>
      </c>
      <c r="CE29" s="11">
        <v>0</v>
      </c>
      <c r="CF29" s="11">
        <v>0</v>
      </c>
      <c r="CG29" s="11">
        <v>0</v>
      </c>
      <c r="CH29" s="11">
        <v>0</v>
      </c>
      <c r="CI29" s="11">
        <v>0</v>
      </c>
      <c r="CJ29" s="11">
        <v>0</v>
      </c>
      <c r="CK29" s="11">
        <v>0</v>
      </c>
      <c r="CL29" s="11">
        <v>0</v>
      </c>
      <c r="CM29" s="11">
        <v>0</v>
      </c>
      <c r="CN29" s="11">
        <v>0</v>
      </c>
      <c r="CO29" s="11">
        <v>0</v>
      </c>
      <c r="CP29" s="11">
        <v>0</v>
      </c>
      <c r="CQ29" s="11">
        <v>0</v>
      </c>
      <c r="CR29" s="11">
        <v>0</v>
      </c>
      <c r="CS29" s="11">
        <v>1</v>
      </c>
      <c r="CT29" s="11">
        <v>66</v>
      </c>
      <c r="CU29" s="11">
        <v>28.333333333333332</v>
      </c>
      <c r="CV29" s="12">
        <v>0</v>
      </c>
      <c r="CW29" s="12">
        <v>0</v>
      </c>
      <c r="CX29" s="11">
        <v>0</v>
      </c>
      <c r="CY29" s="11">
        <v>0</v>
      </c>
      <c r="CZ29" s="11">
        <v>0</v>
      </c>
      <c r="DA29" s="11">
        <v>0</v>
      </c>
      <c r="DB29" s="11">
        <v>0</v>
      </c>
      <c r="DC29" s="11">
        <v>0</v>
      </c>
      <c r="DD29" s="11">
        <v>0</v>
      </c>
      <c r="DG29" s="11">
        <v>361.47899999999998</v>
      </c>
      <c r="DH29" s="11">
        <v>144.453</v>
      </c>
      <c r="DI29" s="11">
        <v>108787.11285758173</v>
      </c>
      <c r="DJ29" s="11">
        <v>67454</v>
      </c>
      <c r="DK29" s="11">
        <v>29468</v>
      </c>
      <c r="DL29" s="11">
        <v>167997</v>
      </c>
      <c r="DM29" s="11">
        <v>271770</v>
      </c>
      <c r="DN29" s="11">
        <v>429850</v>
      </c>
      <c r="DO29" s="11">
        <v>417926</v>
      </c>
      <c r="DP29" s="11">
        <v>506928</v>
      </c>
      <c r="DQ29" s="11">
        <v>756819</v>
      </c>
      <c r="DR29" s="11">
        <v>1407165</v>
      </c>
      <c r="DS29" s="11">
        <v>1573810</v>
      </c>
      <c r="DT29" s="11">
        <v>1702298</v>
      </c>
      <c r="DU29" s="11">
        <v>2174062</v>
      </c>
      <c r="DV29" s="11">
        <v>2676919</v>
      </c>
      <c r="DW29" s="11">
        <v>3129383</v>
      </c>
      <c r="DX29" s="11">
        <v>3307084</v>
      </c>
      <c r="DY29" s="11">
        <v>3618303</v>
      </c>
      <c r="DZ29" s="11">
        <v>4027947</v>
      </c>
      <c r="EA29" s="11">
        <v>309.42500000000001</v>
      </c>
      <c r="EB29" s="11">
        <v>119.28749999999999</v>
      </c>
      <c r="EE29" s="11">
        <f t="shared" si="1"/>
        <v>0</v>
      </c>
      <c r="EF29" s="11">
        <v>1</v>
      </c>
      <c r="EG29" s="11">
        <v>0</v>
      </c>
      <c r="EH29" s="11">
        <v>0</v>
      </c>
      <c r="EI29" s="11">
        <v>0</v>
      </c>
      <c r="EJ29" s="11">
        <v>0</v>
      </c>
      <c r="EK29" s="11">
        <v>0</v>
      </c>
      <c r="EL29" s="11">
        <v>0</v>
      </c>
      <c r="EM29" s="11">
        <v>0</v>
      </c>
      <c r="EN29" s="11">
        <v>0</v>
      </c>
      <c r="EO29" s="11">
        <v>1</v>
      </c>
      <c r="EP29" s="11">
        <v>0</v>
      </c>
      <c r="EQ29" s="11">
        <v>0.31299524564183834</v>
      </c>
      <c r="ER29" s="11">
        <v>0.33808769149498152</v>
      </c>
      <c r="ES29" s="11">
        <v>0.17089276281035393</v>
      </c>
      <c r="ET29" s="11">
        <v>6.8938193343898571E-2</v>
      </c>
      <c r="EU29" s="11">
        <v>9.414196123147093</v>
      </c>
      <c r="EV29" s="11">
        <v>2.1050950999999998</v>
      </c>
    </row>
    <row r="30" spans="1:152" x14ac:dyDescent="0.2">
      <c r="A30" s="11">
        <v>14</v>
      </c>
      <c r="B30" s="11">
        <v>28</v>
      </c>
      <c r="C30" s="11" t="s">
        <v>13</v>
      </c>
      <c r="D30" s="11">
        <v>3949</v>
      </c>
      <c r="E30" s="11">
        <v>8188</v>
      </c>
      <c r="F30" s="11">
        <v>9164</v>
      </c>
      <c r="G30" s="11">
        <v>9535</v>
      </c>
      <c r="H30" s="11">
        <v>13000</v>
      </c>
      <c r="I30" s="11">
        <v>17596</v>
      </c>
      <c r="J30" s="11">
        <v>21001</v>
      </c>
      <c r="K30" s="11">
        <v>19353</v>
      </c>
      <c r="L30" s="11">
        <v>19686</v>
      </c>
      <c r="M30" s="11">
        <v>19497</v>
      </c>
      <c r="N30" s="11">
        <v>7.0000000000000001E-3</v>
      </c>
      <c r="O30" s="11">
        <f t="shared" si="0"/>
        <v>0</v>
      </c>
      <c r="P30" s="11">
        <v>0</v>
      </c>
      <c r="Q30" s="11">
        <v>1</v>
      </c>
      <c r="R30" s="11">
        <v>0</v>
      </c>
      <c r="S30" s="11">
        <v>1</v>
      </c>
      <c r="T30" s="11">
        <v>0</v>
      </c>
      <c r="U30" s="11">
        <v>1</v>
      </c>
      <c r="V30" s="11">
        <v>1</v>
      </c>
      <c r="W30" s="11">
        <v>1</v>
      </c>
      <c r="X30" s="11">
        <v>65</v>
      </c>
      <c r="Y30" s="11">
        <v>0</v>
      </c>
      <c r="Z30" s="11">
        <v>0</v>
      </c>
      <c r="AA30" s="11">
        <v>100</v>
      </c>
      <c r="AB30" s="11">
        <v>626</v>
      </c>
      <c r="AE30" s="11">
        <f>2</f>
        <v>2</v>
      </c>
      <c r="AF30" s="11">
        <f>11+35/60</f>
        <v>11.583333333333334</v>
      </c>
      <c r="AI30" s="11">
        <v>64</v>
      </c>
      <c r="AJ30" s="11">
        <v>425</v>
      </c>
      <c r="AM30" s="11">
        <v>65</v>
      </c>
      <c r="AN30" s="11">
        <v>431</v>
      </c>
      <c r="AO30" s="11">
        <f>0</f>
        <v>0</v>
      </c>
      <c r="AP30" s="11">
        <f>0</f>
        <v>0</v>
      </c>
      <c r="AQ30" s="11">
        <f>0</f>
        <v>0</v>
      </c>
      <c r="AR30" s="11">
        <f>0</f>
        <v>0</v>
      </c>
      <c r="AS30" s="11">
        <v>0</v>
      </c>
      <c r="AT30" s="11">
        <v>0</v>
      </c>
      <c r="AU30" s="11">
        <v>0</v>
      </c>
      <c r="AV30" s="11">
        <v>1</v>
      </c>
      <c r="AW30" s="11">
        <v>0</v>
      </c>
      <c r="AX30" s="11">
        <v>0</v>
      </c>
      <c r="AY30" s="11">
        <v>0</v>
      </c>
      <c r="AZ30" s="11">
        <v>0</v>
      </c>
      <c r="BA30" s="11">
        <v>0</v>
      </c>
      <c r="BB30" s="11">
        <v>0</v>
      </c>
      <c r="BC30" s="11">
        <v>0</v>
      </c>
      <c r="BD30" s="11">
        <v>0</v>
      </c>
      <c r="BE30" s="11">
        <v>0</v>
      </c>
      <c r="BF30" s="11">
        <v>0</v>
      </c>
      <c r="BG30" s="11">
        <v>1</v>
      </c>
      <c r="BH30" s="11">
        <v>0</v>
      </c>
      <c r="BI30" s="11">
        <v>0</v>
      </c>
      <c r="BJ30" s="11">
        <v>1</v>
      </c>
      <c r="BK30" s="11">
        <v>1</v>
      </c>
      <c r="BL30" s="11">
        <v>2068.7730000000001</v>
      </c>
      <c r="BM30" s="11">
        <v>1072.991</v>
      </c>
      <c r="BN30" s="11">
        <v>23.453849999999999</v>
      </c>
      <c r="BO30" s="11">
        <v>13.2</v>
      </c>
      <c r="BP30" s="11">
        <v>381</v>
      </c>
      <c r="BQ30" s="11">
        <v>700</v>
      </c>
      <c r="BR30" s="11">
        <v>1</v>
      </c>
      <c r="BS30" s="11">
        <v>1</v>
      </c>
      <c r="BT30" s="11">
        <v>0</v>
      </c>
      <c r="BU30" s="11">
        <v>0</v>
      </c>
      <c r="BV30" s="11">
        <v>0</v>
      </c>
      <c r="BW30" s="11">
        <v>0</v>
      </c>
      <c r="BX30" s="11">
        <v>0</v>
      </c>
      <c r="BY30" s="11">
        <v>0</v>
      </c>
      <c r="BZ30" s="11">
        <v>0</v>
      </c>
      <c r="CA30" s="11">
        <v>0</v>
      </c>
      <c r="CB30" s="11">
        <v>0</v>
      </c>
      <c r="CC30" s="11">
        <v>0</v>
      </c>
      <c r="CD30" s="11">
        <v>0</v>
      </c>
      <c r="CE30" s="11">
        <v>0</v>
      </c>
      <c r="CF30" s="11">
        <v>0</v>
      </c>
      <c r="CG30" s="11">
        <v>0</v>
      </c>
      <c r="CH30" s="11">
        <v>0</v>
      </c>
      <c r="CI30" s="11">
        <v>0</v>
      </c>
      <c r="CJ30" s="11">
        <v>0</v>
      </c>
      <c r="CK30" s="11">
        <v>0</v>
      </c>
      <c r="CL30" s="11">
        <v>0</v>
      </c>
      <c r="CM30" s="11">
        <v>0</v>
      </c>
      <c r="CN30" s="11">
        <v>0</v>
      </c>
      <c r="CO30" s="11">
        <v>0</v>
      </c>
      <c r="CP30" s="11">
        <v>0</v>
      </c>
      <c r="CQ30" s="11">
        <v>0</v>
      </c>
      <c r="CR30" s="11">
        <v>0</v>
      </c>
      <c r="CS30" s="11">
        <v>1</v>
      </c>
      <c r="CT30" s="11">
        <v>44.666666666666664</v>
      </c>
      <c r="CU30" s="11">
        <v>35.333333333333336</v>
      </c>
      <c r="CV30" s="12">
        <v>0</v>
      </c>
      <c r="CW30" s="12">
        <v>0</v>
      </c>
      <c r="CX30" s="11">
        <v>0</v>
      </c>
      <c r="CY30" s="11">
        <v>0</v>
      </c>
      <c r="CZ30" s="11">
        <v>0</v>
      </c>
      <c r="DA30" s="11">
        <v>0</v>
      </c>
      <c r="DB30" s="11">
        <v>0</v>
      </c>
      <c r="DC30" s="11">
        <v>0</v>
      </c>
      <c r="DD30" s="11">
        <v>0</v>
      </c>
      <c r="DG30" s="11">
        <v>461.99799999999999</v>
      </c>
      <c r="DH30" s="11">
        <v>82.841999999999999</v>
      </c>
      <c r="DI30" s="11">
        <v>108787.11285758173</v>
      </c>
      <c r="DJ30" s="11">
        <v>67454</v>
      </c>
      <c r="DK30" s="11">
        <v>29468</v>
      </c>
      <c r="DL30" s="11">
        <v>167997</v>
      </c>
      <c r="DM30" s="11">
        <v>271770</v>
      </c>
      <c r="DN30" s="11">
        <v>429850</v>
      </c>
      <c r="DO30" s="11">
        <v>417926</v>
      </c>
      <c r="DP30" s="11">
        <v>506928</v>
      </c>
      <c r="DQ30" s="11">
        <v>756819</v>
      </c>
      <c r="DR30" s="11">
        <v>1407165</v>
      </c>
      <c r="DS30" s="11">
        <v>1573810</v>
      </c>
      <c r="DT30" s="11">
        <v>1702298</v>
      </c>
      <c r="DU30" s="11">
        <v>2174062</v>
      </c>
      <c r="DV30" s="11">
        <v>2676919</v>
      </c>
      <c r="DW30" s="11">
        <v>3129383</v>
      </c>
      <c r="DX30" s="11">
        <v>3307084</v>
      </c>
      <c r="DY30" s="11">
        <v>3618303</v>
      </c>
      <c r="DZ30" s="11">
        <v>4027947</v>
      </c>
      <c r="EA30" s="11">
        <v>405.6</v>
      </c>
      <c r="EB30" s="11">
        <v>65.424999999999997</v>
      </c>
      <c r="EE30" s="11">
        <f t="shared" si="1"/>
        <v>0</v>
      </c>
      <c r="EF30" s="11">
        <v>1</v>
      </c>
      <c r="EG30" s="11">
        <v>0</v>
      </c>
      <c r="EH30" s="11">
        <v>0</v>
      </c>
      <c r="EI30" s="11">
        <v>0</v>
      </c>
      <c r="EJ30" s="11">
        <v>0</v>
      </c>
      <c r="EK30" s="11">
        <v>0</v>
      </c>
      <c r="EL30" s="11">
        <v>0</v>
      </c>
      <c r="EM30" s="11">
        <v>0</v>
      </c>
      <c r="EN30" s="11">
        <v>0</v>
      </c>
      <c r="EO30" s="11">
        <v>1</v>
      </c>
      <c r="EP30" s="11">
        <v>0</v>
      </c>
      <c r="EQ30" s="11">
        <v>0.2974065341865948</v>
      </c>
      <c r="ER30" s="11">
        <v>0.33091950151566185</v>
      </c>
      <c r="ES30" s="11">
        <v>0.19299427416638598</v>
      </c>
      <c r="ET30" s="11">
        <v>8.6561131694173121E-2</v>
      </c>
      <c r="EU30" s="11">
        <v>9.1824440619621353</v>
      </c>
      <c r="EV30" s="11">
        <v>2.2675229000000003</v>
      </c>
    </row>
    <row r="31" spans="1:152" x14ac:dyDescent="0.2">
      <c r="A31" s="11">
        <v>58</v>
      </c>
      <c r="B31" s="11">
        <v>29</v>
      </c>
      <c r="C31" s="11" t="s">
        <v>61</v>
      </c>
      <c r="D31" s="11">
        <v>1241</v>
      </c>
      <c r="E31" s="11">
        <v>1505.8906973110072</v>
      </c>
      <c r="F31" s="11">
        <v>1425.7368345133489</v>
      </c>
      <c r="G31" s="11">
        <v>1472</v>
      </c>
      <c r="H31" s="11">
        <v>1904</v>
      </c>
      <c r="I31" s="11">
        <v>1861</v>
      </c>
      <c r="J31" s="11">
        <v>2218</v>
      </c>
      <c r="K31" s="11">
        <v>2154</v>
      </c>
      <c r="L31" s="11">
        <v>1939.8414985590778</v>
      </c>
      <c r="M31" s="11">
        <v>1759.8242074927953</v>
      </c>
      <c r="N31" s="11">
        <v>2E-3</v>
      </c>
      <c r="O31" s="11">
        <f t="shared" si="0"/>
        <v>0</v>
      </c>
      <c r="P31" s="11">
        <v>0</v>
      </c>
      <c r="Q31" s="11">
        <v>0</v>
      </c>
      <c r="R31" s="11">
        <v>0</v>
      </c>
      <c r="S31" s="11">
        <v>1</v>
      </c>
      <c r="T31" s="11">
        <v>0</v>
      </c>
      <c r="U31" s="11">
        <v>0</v>
      </c>
      <c r="V31" s="11">
        <v>1</v>
      </c>
      <c r="W31" s="11">
        <v>0</v>
      </c>
      <c r="X31" s="11">
        <v>35</v>
      </c>
      <c r="Y31" s="11">
        <v>57</v>
      </c>
      <c r="Z31" s="11">
        <v>431</v>
      </c>
      <c r="AA31" s="11">
        <v>0</v>
      </c>
      <c r="AB31" s="11">
        <v>0</v>
      </c>
      <c r="AC31" s="11">
        <f>1</f>
        <v>1</v>
      </c>
      <c r="AD31" s="11">
        <f>6+55/60</f>
        <v>6.916666666666667</v>
      </c>
      <c r="AG31" s="11">
        <v>34</v>
      </c>
      <c r="AH31" s="11">
        <v>260</v>
      </c>
      <c r="AK31" s="11">
        <v>35</v>
      </c>
      <c r="AL31" s="11">
        <v>266</v>
      </c>
      <c r="AO31" s="11">
        <f>0</f>
        <v>0</v>
      </c>
      <c r="AP31" s="11">
        <f>0</f>
        <v>0</v>
      </c>
      <c r="AQ31" s="11">
        <f>0</f>
        <v>0</v>
      </c>
      <c r="AR31" s="11">
        <f>0</f>
        <v>0</v>
      </c>
      <c r="AS31" s="11">
        <v>0</v>
      </c>
      <c r="AT31" s="11">
        <v>0</v>
      </c>
      <c r="AU31" s="11">
        <v>0</v>
      </c>
      <c r="AV31" s="11">
        <v>0</v>
      </c>
      <c r="AW31" s="11">
        <v>0</v>
      </c>
      <c r="AX31" s="11">
        <v>0</v>
      </c>
      <c r="AY31" s="11">
        <v>0</v>
      </c>
      <c r="AZ31" s="11">
        <v>0</v>
      </c>
      <c r="BA31" s="11">
        <v>0</v>
      </c>
      <c r="BB31" s="11">
        <v>0</v>
      </c>
      <c r="BC31" s="11">
        <v>0</v>
      </c>
      <c r="BD31" s="11">
        <v>0</v>
      </c>
      <c r="BE31" s="11">
        <v>0</v>
      </c>
      <c r="BF31" s="11">
        <v>0</v>
      </c>
      <c r="BG31" s="11">
        <v>0</v>
      </c>
      <c r="BH31" s="11">
        <v>0</v>
      </c>
      <c r="BI31" s="11">
        <v>0</v>
      </c>
      <c r="BJ31" s="11">
        <v>0</v>
      </c>
      <c r="BK31" s="11">
        <v>0</v>
      </c>
      <c r="BL31" s="11">
        <v>1634.6030000000001</v>
      </c>
      <c r="BM31" s="11">
        <v>746.60749999999996</v>
      </c>
      <c r="BN31" s="11">
        <v>19.730650000000001</v>
      </c>
      <c r="BO31" s="11">
        <v>9.9253970000000002</v>
      </c>
      <c r="BP31" s="11">
        <v>0</v>
      </c>
      <c r="BQ31" s="11">
        <v>42</v>
      </c>
      <c r="BR31" s="11">
        <v>0</v>
      </c>
      <c r="BS31" s="11">
        <v>1</v>
      </c>
      <c r="BT31" s="11">
        <v>0</v>
      </c>
      <c r="BU31" s="11">
        <v>0</v>
      </c>
      <c r="BV31" s="11">
        <v>0</v>
      </c>
      <c r="BW31" s="11">
        <v>0</v>
      </c>
      <c r="BX31" s="11">
        <v>0</v>
      </c>
      <c r="BY31" s="11">
        <v>0</v>
      </c>
      <c r="BZ31" s="11">
        <v>0</v>
      </c>
      <c r="CA31" s="11">
        <v>0</v>
      </c>
      <c r="CB31" s="11">
        <v>0</v>
      </c>
      <c r="CC31" s="11">
        <v>0</v>
      </c>
      <c r="CD31" s="11">
        <v>0</v>
      </c>
      <c r="CE31" s="11">
        <v>0</v>
      </c>
      <c r="CF31" s="11">
        <v>0</v>
      </c>
      <c r="CG31" s="11">
        <v>0</v>
      </c>
      <c r="CH31" s="11">
        <v>0</v>
      </c>
      <c r="CI31" s="11">
        <v>0</v>
      </c>
      <c r="CJ31" s="11">
        <v>0</v>
      </c>
      <c r="CK31" s="11">
        <v>0</v>
      </c>
      <c r="CL31" s="11">
        <v>0</v>
      </c>
      <c r="CM31" s="11">
        <v>0</v>
      </c>
      <c r="CN31" s="11">
        <v>0</v>
      </c>
      <c r="CO31" s="11">
        <v>0</v>
      </c>
      <c r="CP31" s="11">
        <v>0</v>
      </c>
      <c r="CQ31" s="11">
        <v>0</v>
      </c>
      <c r="CR31" s="11">
        <v>0</v>
      </c>
      <c r="CS31" s="11">
        <v>1</v>
      </c>
      <c r="CT31" s="11">
        <v>64.666666666666671</v>
      </c>
      <c r="CU31" s="11">
        <v>33.333333333333336</v>
      </c>
      <c r="CV31" s="12">
        <v>0</v>
      </c>
      <c r="CW31" s="12">
        <v>0</v>
      </c>
      <c r="CX31" s="11">
        <v>0</v>
      </c>
      <c r="CY31" s="11">
        <v>0</v>
      </c>
      <c r="CZ31" s="11">
        <v>0</v>
      </c>
      <c r="DA31" s="11">
        <v>0</v>
      </c>
      <c r="DB31" s="11">
        <v>0</v>
      </c>
      <c r="DC31" s="11">
        <v>0</v>
      </c>
      <c r="DD31" s="11">
        <v>0</v>
      </c>
      <c r="DE31" s="11">
        <v>49.514000000000003</v>
      </c>
      <c r="DF31" s="11">
        <v>356.66</v>
      </c>
      <c r="DI31" s="11">
        <v>108787.11285758173</v>
      </c>
      <c r="DJ31" s="11">
        <v>67454</v>
      </c>
      <c r="DK31" s="11">
        <v>29468</v>
      </c>
      <c r="DL31" s="11">
        <v>167997</v>
      </c>
      <c r="DM31" s="11">
        <v>271770</v>
      </c>
      <c r="DN31" s="11">
        <v>429850</v>
      </c>
      <c r="DO31" s="11">
        <v>417926</v>
      </c>
      <c r="DP31" s="11">
        <v>506928</v>
      </c>
      <c r="DQ31" s="11">
        <v>756819</v>
      </c>
      <c r="DR31" s="11">
        <v>1407165</v>
      </c>
      <c r="DS31" s="11">
        <v>1573810</v>
      </c>
      <c r="DT31" s="11">
        <v>1702298</v>
      </c>
      <c r="DU31" s="11">
        <v>2174062</v>
      </c>
      <c r="DV31" s="11">
        <v>2676919</v>
      </c>
      <c r="DW31" s="11">
        <v>3129383</v>
      </c>
      <c r="DX31" s="11">
        <v>3307084</v>
      </c>
      <c r="DY31" s="11">
        <v>3618303</v>
      </c>
      <c r="DZ31" s="11">
        <v>4027947</v>
      </c>
      <c r="EC31" s="11">
        <v>269.66250000000002</v>
      </c>
      <c r="ED31" s="11">
        <v>40</v>
      </c>
      <c r="EE31" s="11">
        <f t="shared" si="1"/>
        <v>0</v>
      </c>
      <c r="EF31" s="11">
        <v>1</v>
      </c>
      <c r="EG31" s="11">
        <v>0</v>
      </c>
      <c r="EH31" s="11">
        <v>0</v>
      </c>
      <c r="EI31" s="11">
        <v>0</v>
      </c>
      <c r="EJ31" s="11">
        <v>1</v>
      </c>
      <c r="EK31" s="11">
        <v>0</v>
      </c>
      <c r="EL31" s="11">
        <v>0</v>
      </c>
      <c r="EM31" s="11">
        <v>0</v>
      </c>
      <c r="EN31" s="11">
        <v>0</v>
      </c>
      <c r="EO31" s="11">
        <v>0</v>
      </c>
      <c r="EP31" s="11">
        <v>0</v>
      </c>
      <c r="EQ31" s="11">
        <v>0.33287165281625114</v>
      </c>
      <c r="ER31" s="11">
        <v>0.34325946445060018</v>
      </c>
      <c r="ES31" s="11">
        <v>0.16874422899353647</v>
      </c>
      <c r="ET31" s="11">
        <v>6.209602954755309E-2</v>
      </c>
      <c r="EU31" s="11">
        <v>0.62039521472938308</v>
      </c>
      <c r="EV31" s="11">
        <v>3.3381552000000001</v>
      </c>
    </row>
    <row r="32" spans="1:152" x14ac:dyDescent="0.2">
      <c r="A32" s="11">
        <v>39</v>
      </c>
      <c r="B32" s="11">
        <v>30</v>
      </c>
      <c r="C32" s="11" t="s">
        <v>39</v>
      </c>
      <c r="D32" s="11">
        <v>0</v>
      </c>
      <c r="E32" s="11">
        <v>1554.8555791096551</v>
      </c>
      <c r="F32" s="11">
        <v>1827.5658508383119</v>
      </c>
      <c r="G32" s="11">
        <v>2175</v>
      </c>
      <c r="H32" s="11">
        <v>3552</v>
      </c>
      <c r="I32" s="11">
        <v>4497</v>
      </c>
      <c r="J32" s="11">
        <v>4783</v>
      </c>
      <c r="K32" s="11">
        <v>5281</v>
      </c>
      <c r="L32" s="11">
        <v>5667.0468303826392</v>
      </c>
      <c r="M32" s="11">
        <v>6083.2535693889213</v>
      </c>
      <c r="N32" s="11">
        <v>1.7000000000000001E-2</v>
      </c>
      <c r="O32" s="11">
        <f t="shared" si="0"/>
        <v>1</v>
      </c>
      <c r="P32" s="11">
        <v>0</v>
      </c>
      <c r="Q32" s="11">
        <v>1</v>
      </c>
      <c r="R32" s="11">
        <v>0</v>
      </c>
      <c r="S32" s="11">
        <v>1</v>
      </c>
      <c r="T32" s="11">
        <v>0</v>
      </c>
      <c r="U32" s="11">
        <v>1</v>
      </c>
      <c r="V32" s="11">
        <v>1</v>
      </c>
      <c r="W32" s="11">
        <v>0</v>
      </c>
      <c r="X32" s="11">
        <v>61</v>
      </c>
      <c r="Y32" s="11">
        <v>0</v>
      </c>
      <c r="Z32" s="11">
        <v>0</v>
      </c>
      <c r="AA32" s="11">
        <v>528</v>
      </c>
      <c r="AB32" s="11">
        <v>143</v>
      </c>
      <c r="AE32" s="11">
        <f>8+20/60</f>
        <v>8.3333333333333339</v>
      </c>
      <c r="AF32" s="11">
        <f>2+10/60</f>
        <v>2.1666666666666665</v>
      </c>
      <c r="AI32" s="11">
        <v>349</v>
      </c>
      <c r="AJ32" s="11">
        <v>90</v>
      </c>
      <c r="AM32" s="11">
        <v>372</v>
      </c>
      <c r="AN32" s="11">
        <v>93</v>
      </c>
      <c r="AO32" s="11">
        <f>0</f>
        <v>0</v>
      </c>
      <c r="AP32" s="11">
        <f>0</f>
        <v>0</v>
      </c>
      <c r="AQ32" s="11">
        <f>0</f>
        <v>0</v>
      </c>
      <c r="AR32" s="11">
        <f>0</f>
        <v>0</v>
      </c>
      <c r="AS32" s="11">
        <v>0</v>
      </c>
      <c r="AT32" s="11">
        <v>0</v>
      </c>
      <c r="AU32" s="11">
        <v>0</v>
      </c>
      <c r="AV32" s="11">
        <v>0</v>
      </c>
      <c r="AW32" s="11">
        <v>0</v>
      </c>
      <c r="AX32" s="11">
        <v>0</v>
      </c>
      <c r="AY32" s="11">
        <v>0</v>
      </c>
      <c r="AZ32" s="11">
        <v>0</v>
      </c>
      <c r="BA32" s="11">
        <v>0</v>
      </c>
      <c r="BB32" s="11">
        <v>0</v>
      </c>
      <c r="BC32" s="11">
        <v>0</v>
      </c>
      <c r="BD32" s="11">
        <v>0</v>
      </c>
      <c r="BE32" s="11">
        <v>0</v>
      </c>
      <c r="BF32" s="11">
        <v>0</v>
      </c>
      <c r="BG32" s="11">
        <v>0</v>
      </c>
      <c r="BH32" s="11">
        <v>0</v>
      </c>
      <c r="BI32" s="11">
        <v>0</v>
      </c>
      <c r="BJ32" s="11">
        <v>0</v>
      </c>
      <c r="BK32" s="11">
        <v>0</v>
      </c>
      <c r="BL32" s="11">
        <v>2011.32</v>
      </c>
      <c r="BM32" s="11">
        <v>1144.0429999999999</v>
      </c>
      <c r="BN32" s="11">
        <v>24.428570000000001</v>
      </c>
      <c r="BO32" s="11">
        <v>14.82667</v>
      </c>
      <c r="BP32" s="11">
        <v>0</v>
      </c>
      <c r="BQ32" s="11">
        <v>0</v>
      </c>
      <c r="BR32" s="11">
        <v>0</v>
      </c>
      <c r="BS32" s="11">
        <v>0</v>
      </c>
      <c r="BT32" s="11">
        <v>0</v>
      </c>
      <c r="BU32" s="11">
        <v>0</v>
      </c>
      <c r="BV32" s="11">
        <v>0</v>
      </c>
      <c r="BW32" s="11">
        <v>0</v>
      </c>
      <c r="BX32" s="11">
        <v>0</v>
      </c>
      <c r="BY32" s="11">
        <v>0</v>
      </c>
      <c r="BZ32" s="11">
        <v>0</v>
      </c>
      <c r="CA32" s="11">
        <v>0</v>
      </c>
      <c r="CB32" s="11">
        <v>0</v>
      </c>
      <c r="CC32" s="11">
        <v>0</v>
      </c>
      <c r="CD32" s="11">
        <v>0</v>
      </c>
      <c r="CE32" s="11">
        <v>0</v>
      </c>
      <c r="CF32" s="11">
        <v>0</v>
      </c>
      <c r="CG32" s="11">
        <v>0</v>
      </c>
      <c r="CH32" s="11">
        <v>0</v>
      </c>
      <c r="CI32" s="11">
        <v>0</v>
      </c>
      <c r="CJ32" s="11">
        <v>0</v>
      </c>
      <c r="CK32" s="11">
        <v>0</v>
      </c>
      <c r="CL32" s="11">
        <v>0</v>
      </c>
      <c r="CM32" s="11">
        <v>0</v>
      </c>
      <c r="CN32" s="11">
        <v>0</v>
      </c>
      <c r="CO32" s="11">
        <v>0</v>
      </c>
      <c r="CP32" s="11">
        <v>0</v>
      </c>
      <c r="CQ32" s="11">
        <v>0</v>
      </c>
      <c r="CR32" s="11">
        <v>0</v>
      </c>
      <c r="CS32" s="11">
        <v>1</v>
      </c>
      <c r="CT32" s="11">
        <v>16.333333333333332</v>
      </c>
      <c r="CU32" s="11">
        <v>68</v>
      </c>
      <c r="CV32" s="12">
        <v>0</v>
      </c>
      <c r="CW32" s="12">
        <v>0</v>
      </c>
      <c r="CX32" s="11">
        <v>0</v>
      </c>
      <c r="CY32" s="11">
        <v>0</v>
      </c>
      <c r="CZ32" s="11">
        <v>0</v>
      </c>
      <c r="DA32" s="11">
        <v>0</v>
      </c>
      <c r="DB32" s="11">
        <v>0</v>
      </c>
      <c r="DC32" s="11">
        <v>0</v>
      </c>
      <c r="DD32" s="11">
        <v>0</v>
      </c>
      <c r="DG32" s="11">
        <v>112.61</v>
      </c>
      <c r="DH32" s="11">
        <v>408.11799999999999</v>
      </c>
      <c r="DI32" s="11">
        <v>108787.11285758173</v>
      </c>
      <c r="DJ32" s="11">
        <v>67454</v>
      </c>
      <c r="DK32" s="11">
        <v>29468</v>
      </c>
      <c r="DL32" s="11">
        <v>167997</v>
      </c>
      <c r="DM32" s="11">
        <v>271770</v>
      </c>
      <c r="DN32" s="11">
        <v>429850</v>
      </c>
      <c r="DO32" s="11">
        <v>417926</v>
      </c>
      <c r="DP32" s="11">
        <v>506928</v>
      </c>
      <c r="DQ32" s="11">
        <v>756819</v>
      </c>
      <c r="DR32" s="11">
        <v>1407165</v>
      </c>
      <c r="DS32" s="11">
        <v>1573810</v>
      </c>
      <c r="DT32" s="11">
        <v>1702298</v>
      </c>
      <c r="DU32" s="11">
        <v>2174062</v>
      </c>
      <c r="DV32" s="11">
        <v>2676919</v>
      </c>
      <c r="DW32" s="11">
        <v>3129383</v>
      </c>
      <c r="DX32" s="11">
        <v>3307084</v>
      </c>
      <c r="DY32" s="11">
        <v>3618303</v>
      </c>
      <c r="DZ32" s="11">
        <v>4027947</v>
      </c>
      <c r="EA32" s="11">
        <v>101.325</v>
      </c>
      <c r="EB32" s="11">
        <v>361.36250000000001</v>
      </c>
      <c r="EE32" s="11">
        <f t="shared" si="1"/>
        <v>0</v>
      </c>
      <c r="EF32" s="11">
        <v>0</v>
      </c>
      <c r="EG32" s="11">
        <v>1</v>
      </c>
      <c r="EH32" s="11">
        <v>0</v>
      </c>
      <c r="EI32" s="11">
        <v>0</v>
      </c>
      <c r="EJ32" s="11">
        <v>0</v>
      </c>
      <c r="EK32" s="11">
        <v>0</v>
      </c>
      <c r="EL32" s="11">
        <v>0</v>
      </c>
      <c r="EM32" s="11">
        <v>0</v>
      </c>
      <c r="EN32" s="11">
        <v>1</v>
      </c>
      <c r="EO32" s="11">
        <v>0</v>
      </c>
      <c r="EP32" s="11">
        <v>0</v>
      </c>
      <c r="EQ32" s="11">
        <v>0.31214020724062941</v>
      </c>
      <c r="ER32" s="11">
        <v>0.34923883842906484</v>
      </c>
      <c r="ES32" s="11">
        <v>0.170781629781246</v>
      </c>
      <c r="ET32" s="11">
        <v>6.3579378278111803E-2</v>
      </c>
      <c r="EU32" s="11">
        <v>27.91750503018109</v>
      </c>
      <c r="EV32" s="11">
        <v>4.6378992999999999</v>
      </c>
    </row>
    <row r="33" spans="1:152" x14ac:dyDescent="0.2">
      <c r="A33" s="11">
        <v>9</v>
      </c>
      <c r="B33" s="11">
        <v>31</v>
      </c>
      <c r="C33" s="11" t="s">
        <v>8</v>
      </c>
      <c r="D33" s="11">
        <v>8774</v>
      </c>
      <c r="E33" s="11">
        <v>18363.659805257052</v>
      </c>
      <c r="F33" s="11">
        <v>19137.815095101156</v>
      </c>
      <c r="G33" s="11">
        <v>20297</v>
      </c>
      <c r="H33" s="11">
        <v>27507</v>
      </c>
      <c r="I33" s="11">
        <v>38309</v>
      </c>
      <c r="J33" s="11">
        <v>50164</v>
      </c>
      <c r="K33" s="11">
        <v>52151</v>
      </c>
      <c r="L33" s="11">
        <v>55044</v>
      </c>
      <c r="M33" s="11">
        <v>56286</v>
      </c>
      <c r="N33" s="11">
        <v>2.3E-2</v>
      </c>
      <c r="O33" s="11">
        <f t="shared" si="0"/>
        <v>0</v>
      </c>
      <c r="P33" s="11">
        <v>1</v>
      </c>
      <c r="Q33" s="11">
        <v>1</v>
      </c>
      <c r="R33" s="11">
        <v>0</v>
      </c>
      <c r="S33" s="11">
        <v>0</v>
      </c>
      <c r="T33" s="11">
        <v>1</v>
      </c>
      <c r="U33" s="11">
        <v>1</v>
      </c>
      <c r="V33" s="11">
        <v>1</v>
      </c>
      <c r="W33" s="11">
        <v>1</v>
      </c>
      <c r="X33" s="11">
        <v>0</v>
      </c>
      <c r="Y33" s="11">
        <v>0</v>
      </c>
      <c r="Z33" s="11">
        <v>0</v>
      </c>
      <c r="AA33" s="11">
        <v>313</v>
      </c>
      <c r="AB33" s="11">
        <v>424</v>
      </c>
      <c r="AE33" s="11">
        <f>6</f>
        <v>6</v>
      </c>
      <c r="AF33" s="11">
        <f>7+25/60</f>
        <v>7.416666666666667</v>
      </c>
      <c r="AI33" s="11">
        <v>212</v>
      </c>
      <c r="AJ33" s="11">
        <v>277</v>
      </c>
      <c r="AM33" s="11">
        <v>214</v>
      </c>
      <c r="AN33" s="11">
        <v>307</v>
      </c>
      <c r="AO33" s="11">
        <f>0</f>
        <v>0</v>
      </c>
      <c r="AP33" s="11">
        <f>0</f>
        <v>0</v>
      </c>
      <c r="AQ33" s="11">
        <f>0</f>
        <v>0</v>
      </c>
      <c r="AR33" s="11">
        <f>0</f>
        <v>0</v>
      </c>
      <c r="AS33" s="11">
        <v>0</v>
      </c>
      <c r="AT33" s="11">
        <v>0</v>
      </c>
      <c r="AU33" s="11">
        <v>1</v>
      </c>
      <c r="AV33" s="11">
        <v>1</v>
      </c>
      <c r="AW33" s="11">
        <v>1</v>
      </c>
      <c r="AX33" s="11">
        <v>0</v>
      </c>
      <c r="AY33" s="11">
        <v>0</v>
      </c>
      <c r="AZ33" s="11">
        <v>0</v>
      </c>
      <c r="BA33" s="11">
        <v>0</v>
      </c>
      <c r="BB33" s="11">
        <v>0</v>
      </c>
      <c r="BC33" s="11">
        <v>0</v>
      </c>
      <c r="BD33" s="11">
        <v>0</v>
      </c>
      <c r="BE33" s="11">
        <v>0</v>
      </c>
      <c r="BF33" s="11">
        <v>0</v>
      </c>
      <c r="BG33" s="11">
        <v>1</v>
      </c>
      <c r="BH33" s="11">
        <v>1</v>
      </c>
      <c r="BI33" s="11">
        <v>1</v>
      </c>
      <c r="BJ33" s="11">
        <v>1</v>
      </c>
      <c r="BK33" s="11">
        <v>1</v>
      </c>
      <c r="BL33" s="11">
        <v>2251.1379999999999</v>
      </c>
      <c r="BM33" s="11">
        <v>808.4067</v>
      </c>
      <c r="BN33" s="11">
        <v>23.2822</v>
      </c>
      <c r="BO33" s="11">
        <v>14.164960000000001</v>
      </c>
      <c r="BP33" s="11">
        <v>1101</v>
      </c>
      <c r="BQ33" s="11">
        <v>2181</v>
      </c>
      <c r="BR33" s="11">
        <v>1</v>
      </c>
      <c r="BS33" s="11">
        <v>1</v>
      </c>
      <c r="BT33" s="11">
        <v>0</v>
      </c>
      <c r="BU33" s="11">
        <v>0</v>
      </c>
      <c r="BV33" s="11">
        <v>635</v>
      </c>
      <c r="BW33" s="11">
        <v>556308</v>
      </c>
      <c r="BX33" s="11">
        <v>463</v>
      </c>
      <c r="BY33" s="11">
        <v>574678</v>
      </c>
      <c r="BZ33" s="11">
        <v>208</v>
      </c>
      <c r="CA33" s="11">
        <v>223601</v>
      </c>
      <c r="CB33" s="11">
        <v>244</v>
      </c>
      <c r="CC33" s="11">
        <v>689542</v>
      </c>
      <c r="CD33" s="11">
        <v>452</v>
      </c>
      <c r="CE33" s="11">
        <v>1376191</v>
      </c>
      <c r="CF33" s="11">
        <v>215</v>
      </c>
      <c r="CG33" s="11">
        <v>967000</v>
      </c>
      <c r="CH33" s="11">
        <v>0</v>
      </c>
      <c r="CI33" s="11">
        <v>0</v>
      </c>
      <c r="CJ33" s="11">
        <v>1</v>
      </c>
      <c r="CK33" s="11">
        <v>1</v>
      </c>
      <c r="CL33" s="11">
        <v>1</v>
      </c>
      <c r="CM33" s="11">
        <v>1</v>
      </c>
      <c r="CN33" s="11">
        <v>1</v>
      </c>
      <c r="CO33" s="11">
        <v>1</v>
      </c>
      <c r="CP33" s="11">
        <v>1</v>
      </c>
      <c r="CQ33" s="11">
        <v>1</v>
      </c>
      <c r="CR33" s="11">
        <v>1</v>
      </c>
      <c r="CS33" s="11">
        <v>1</v>
      </c>
      <c r="CT33" s="11">
        <v>26</v>
      </c>
      <c r="CU33" s="11">
        <v>40.666666666666664</v>
      </c>
      <c r="CV33" s="12">
        <v>0</v>
      </c>
      <c r="CW33" s="12">
        <v>0</v>
      </c>
      <c r="CX33" s="11">
        <v>0</v>
      </c>
      <c r="CY33" s="11">
        <v>0</v>
      </c>
      <c r="CZ33" s="11">
        <v>0</v>
      </c>
      <c r="DA33" s="11">
        <v>0</v>
      </c>
      <c r="DB33" s="11">
        <v>0</v>
      </c>
      <c r="DC33" s="11">
        <v>0</v>
      </c>
      <c r="DD33" s="11">
        <v>0</v>
      </c>
      <c r="DG33" s="11">
        <v>348.697</v>
      </c>
      <c r="DH33" s="11">
        <v>269.33699999999999</v>
      </c>
      <c r="DI33" s="11">
        <v>108787.11285758173</v>
      </c>
      <c r="DJ33" s="11">
        <v>67454</v>
      </c>
      <c r="DK33" s="11">
        <v>29468</v>
      </c>
      <c r="DL33" s="11">
        <v>167997</v>
      </c>
      <c r="DM33" s="11">
        <v>271770</v>
      </c>
      <c r="DN33" s="11">
        <v>429850</v>
      </c>
      <c r="DO33" s="11">
        <v>417926</v>
      </c>
      <c r="DP33" s="11">
        <v>506928</v>
      </c>
      <c r="DQ33" s="11">
        <v>756819</v>
      </c>
      <c r="DR33" s="11">
        <v>1407165</v>
      </c>
      <c r="DS33" s="11">
        <v>1573810</v>
      </c>
      <c r="DT33" s="11">
        <v>1702298</v>
      </c>
      <c r="DU33" s="11">
        <v>2174062</v>
      </c>
      <c r="DV33" s="11">
        <v>2676919</v>
      </c>
      <c r="DW33" s="11">
        <v>3129383</v>
      </c>
      <c r="DX33" s="11">
        <v>3307084</v>
      </c>
      <c r="DY33" s="11">
        <v>3618303</v>
      </c>
      <c r="DZ33" s="11">
        <v>4027947</v>
      </c>
      <c r="EA33" s="11">
        <v>451.1</v>
      </c>
      <c r="EB33" s="11">
        <v>208.67500000000001</v>
      </c>
      <c r="EE33" s="11">
        <f t="shared" si="1"/>
        <v>0</v>
      </c>
      <c r="EF33" s="11">
        <v>0</v>
      </c>
      <c r="EG33" s="11">
        <v>0</v>
      </c>
      <c r="EH33" s="11">
        <v>1</v>
      </c>
      <c r="EI33" s="11">
        <v>0</v>
      </c>
      <c r="EJ33" s="11">
        <v>0</v>
      </c>
      <c r="EK33" s="11">
        <v>0</v>
      </c>
      <c r="EL33" s="11">
        <v>1</v>
      </c>
      <c r="EM33" s="11">
        <v>0</v>
      </c>
      <c r="EN33" s="11">
        <v>0</v>
      </c>
      <c r="EO33" s="11">
        <v>0</v>
      </c>
      <c r="EP33" s="11">
        <v>0</v>
      </c>
      <c r="EQ33" s="11">
        <v>0.26519109155897719</v>
      </c>
      <c r="ER33" s="11">
        <v>0.34114654935386307</v>
      </c>
      <c r="ES33" s="11">
        <v>0.19528457519934012</v>
      </c>
      <c r="ET33" s="11">
        <v>9.8570250206213919E-2</v>
      </c>
      <c r="EU33" s="11">
        <v>13.32518337408313</v>
      </c>
      <c r="EV33" s="11">
        <v>5.4518186000000002</v>
      </c>
    </row>
    <row r="34" spans="1:152" x14ac:dyDescent="0.2">
      <c r="A34" s="11">
        <v>17</v>
      </c>
      <c r="B34" s="11">
        <v>32</v>
      </c>
      <c r="C34" s="11" t="s">
        <v>16</v>
      </c>
      <c r="D34" s="11">
        <v>7010</v>
      </c>
      <c r="E34" s="11">
        <v>11829.07686707517</v>
      </c>
      <c r="F34" s="11">
        <v>13661.467451313476</v>
      </c>
      <c r="G34" s="11">
        <v>16577</v>
      </c>
      <c r="H34" s="11">
        <v>22503</v>
      </c>
      <c r="I34" s="11">
        <v>27615</v>
      </c>
      <c r="J34" s="11">
        <v>42433</v>
      </c>
      <c r="K34" s="11">
        <v>44593</v>
      </c>
      <c r="L34" s="11">
        <v>50691</v>
      </c>
      <c r="M34" s="11">
        <v>56367</v>
      </c>
      <c r="N34" s="11">
        <v>6.0000000000000001E-3</v>
      </c>
      <c r="O34" s="11">
        <f t="shared" si="0"/>
        <v>0</v>
      </c>
      <c r="P34" s="11">
        <v>1</v>
      </c>
      <c r="Q34" s="11">
        <v>1</v>
      </c>
      <c r="R34" s="11">
        <v>0</v>
      </c>
      <c r="S34" s="11">
        <v>1</v>
      </c>
      <c r="T34" s="11">
        <v>1</v>
      </c>
      <c r="U34" s="11">
        <v>0</v>
      </c>
      <c r="V34" s="11">
        <v>1</v>
      </c>
      <c r="W34" s="11">
        <v>1</v>
      </c>
      <c r="X34" s="11">
        <v>0</v>
      </c>
      <c r="Y34" s="11">
        <v>792</v>
      </c>
      <c r="Z34" s="11">
        <v>427</v>
      </c>
      <c r="AA34" s="11">
        <v>0</v>
      </c>
      <c r="AB34" s="11">
        <v>0</v>
      </c>
      <c r="AC34" s="11">
        <f>13+55/60</f>
        <v>13.916666666666666</v>
      </c>
      <c r="AD34" s="11">
        <f>8</f>
        <v>8</v>
      </c>
      <c r="AG34" s="11">
        <v>500</v>
      </c>
      <c r="AH34" s="11">
        <v>274</v>
      </c>
      <c r="AK34" s="11">
        <v>524</v>
      </c>
      <c r="AL34" s="11">
        <v>293</v>
      </c>
      <c r="AO34" s="11">
        <f>0</f>
        <v>0</v>
      </c>
      <c r="AP34" s="11">
        <f>0</f>
        <v>0</v>
      </c>
      <c r="AQ34" s="11">
        <f>0</f>
        <v>0</v>
      </c>
      <c r="AR34" s="11">
        <f>0</f>
        <v>0</v>
      </c>
      <c r="AS34" s="11">
        <v>0</v>
      </c>
      <c r="AT34" s="11">
        <v>1</v>
      </c>
      <c r="AU34" s="11">
        <v>1</v>
      </c>
      <c r="AV34" s="11">
        <v>1</v>
      </c>
      <c r="AW34" s="11">
        <v>1</v>
      </c>
      <c r="AX34" s="11">
        <v>0</v>
      </c>
      <c r="AY34" s="11">
        <v>0</v>
      </c>
      <c r="AZ34" s="11">
        <v>0</v>
      </c>
      <c r="BA34" s="11">
        <v>0</v>
      </c>
      <c r="BB34" s="11">
        <v>0</v>
      </c>
      <c r="BC34" s="11">
        <v>0</v>
      </c>
      <c r="BD34" s="11">
        <v>0</v>
      </c>
      <c r="BE34" s="11">
        <v>0</v>
      </c>
      <c r="BF34" s="11">
        <v>0</v>
      </c>
      <c r="BG34" s="11">
        <v>0</v>
      </c>
      <c r="BH34" s="11">
        <v>1</v>
      </c>
      <c r="BI34" s="11">
        <v>1</v>
      </c>
      <c r="BJ34" s="11">
        <v>1</v>
      </c>
      <c r="BK34" s="11">
        <v>1</v>
      </c>
      <c r="BL34" s="11">
        <v>2430.2489999999998</v>
      </c>
      <c r="BM34" s="11">
        <v>971.39559999999994</v>
      </c>
      <c r="BN34" s="11">
        <v>21.603829999999999</v>
      </c>
      <c r="BO34" s="11">
        <v>12.667299999999999</v>
      </c>
      <c r="BP34" s="11">
        <v>478</v>
      </c>
      <c r="BQ34" s="11">
        <v>703</v>
      </c>
      <c r="BR34" s="11">
        <v>1</v>
      </c>
      <c r="BS34" s="11">
        <v>1</v>
      </c>
      <c r="BT34" s="11">
        <v>742565</v>
      </c>
      <c r="BU34" s="11">
        <v>637566</v>
      </c>
      <c r="BV34" s="11">
        <v>1210</v>
      </c>
      <c r="BW34" s="11">
        <v>311288</v>
      </c>
      <c r="BX34" s="11">
        <v>990</v>
      </c>
      <c r="BY34" s="11">
        <v>336539</v>
      </c>
      <c r="BZ34" s="11">
        <v>686</v>
      </c>
      <c r="CA34" s="11">
        <v>253448</v>
      </c>
      <c r="CB34" s="11">
        <v>738</v>
      </c>
      <c r="CC34" s="11">
        <v>224494</v>
      </c>
      <c r="CD34" s="11">
        <v>700</v>
      </c>
      <c r="CE34" s="11">
        <v>421337</v>
      </c>
      <c r="CF34" s="11">
        <v>136</v>
      </c>
      <c r="CG34" s="11">
        <v>553000</v>
      </c>
      <c r="CH34" s="11">
        <v>1</v>
      </c>
      <c r="CI34" s="11">
        <v>1</v>
      </c>
      <c r="CJ34" s="11">
        <v>1</v>
      </c>
      <c r="CK34" s="11">
        <v>1</v>
      </c>
      <c r="CL34" s="11">
        <v>1</v>
      </c>
      <c r="CM34" s="11">
        <v>1</v>
      </c>
      <c r="CN34" s="11">
        <v>1</v>
      </c>
      <c r="CO34" s="11">
        <v>1</v>
      </c>
      <c r="CP34" s="11">
        <v>1</v>
      </c>
      <c r="CQ34" s="11">
        <v>1</v>
      </c>
      <c r="CR34" s="11">
        <v>1</v>
      </c>
      <c r="CS34" s="11">
        <v>1</v>
      </c>
      <c r="CT34" s="11">
        <v>28.666666666666668</v>
      </c>
      <c r="CU34" s="11">
        <v>8.6666666666666661</v>
      </c>
      <c r="CV34" s="12">
        <v>0</v>
      </c>
      <c r="CW34" s="12">
        <v>0</v>
      </c>
      <c r="CX34" s="11">
        <v>0</v>
      </c>
      <c r="CY34" s="11">
        <v>0</v>
      </c>
      <c r="CZ34" s="11">
        <v>0</v>
      </c>
      <c r="DA34" s="11">
        <v>0</v>
      </c>
      <c r="DB34" s="11">
        <v>0</v>
      </c>
      <c r="DC34" s="11">
        <v>0</v>
      </c>
      <c r="DD34" s="11">
        <v>0</v>
      </c>
      <c r="DE34" s="11">
        <v>559.00699999999995</v>
      </c>
      <c r="DF34" s="11">
        <v>256.79700000000003</v>
      </c>
      <c r="DI34" s="11">
        <v>108787.11285758173</v>
      </c>
      <c r="DJ34" s="11">
        <v>67454</v>
      </c>
      <c r="DK34" s="11">
        <v>29468</v>
      </c>
      <c r="DL34" s="11">
        <v>167997</v>
      </c>
      <c r="DM34" s="11">
        <v>271770</v>
      </c>
      <c r="DN34" s="11">
        <v>429850</v>
      </c>
      <c r="DO34" s="11">
        <v>417926</v>
      </c>
      <c r="DP34" s="11">
        <v>506928</v>
      </c>
      <c r="DQ34" s="11">
        <v>756819</v>
      </c>
      <c r="DR34" s="11">
        <v>1407165</v>
      </c>
      <c r="DS34" s="11">
        <v>1573810</v>
      </c>
      <c r="DT34" s="11">
        <v>1702298</v>
      </c>
      <c r="DU34" s="11">
        <v>2174062</v>
      </c>
      <c r="DV34" s="11">
        <v>2676919</v>
      </c>
      <c r="DW34" s="11">
        <v>3129383</v>
      </c>
      <c r="DX34" s="11">
        <v>3307084</v>
      </c>
      <c r="DY34" s="11">
        <v>3618303</v>
      </c>
      <c r="DZ34" s="11">
        <v>4027947</v>
      </c>
      <c r="EE34" s="11">
        <f t="shared" si="1"/>
        <v>1</v>
      </c>
      <c r="EF34" s="11">
        <v>1</v>
      </c>
      <c r="EG34" s="11">
        <v>0</v>
      </c>
      <c r="EH34" s="11">
        <v>0</v>
      </c>
      <c r="EI34" s="11">
        <v>0</v>
      </c>
      <c r="EJ34" s="11">
        <v>0</v>
      </c>
      <c r="EK34" s="11">
        <v>0</v>
      </c>
      <c r="EL34" s="11">
        <v>0</v>
      </c>
      <c r="EM34" s="11">
        <v>1</v>
      </c>
      <c r="EN34" s="11">
        <v>0</v>
      </c>
      <c r="EO34" s="11">
        <v>0</v>
      </c>
      <c r="EP34" s="11">
        <v>0</v>
      </c>
      <c r="EQ34" s="11">
        <v>0.23056277056277055</v>
      </c>
      <c r="ER34" s="11">
        <v>0.34666666666666668</v>
      </c>
      <c r="ES34" s="11">
        <v>0.21168831168831168</v>
      </c>
      <c r="ET34" s="11">
        <v>0.12606060606060607</v>
      </c>
      <c r="EU34" s="11">
        <v>1.2213770388958596</v>
      </c>
      <c r="EV34" s="11">
        <v>1.7800978000000001</v>
      </c>
    </row>
    <row r="35" spans="1:152" x14ac:dyDescent="0.2">
      <c r="A35" s="11">
        <v>11</v>
      </c>
      <c r="B35" s="11">
        <v>33</v>
      </c>
      <c r="C35" s="11" t="s">
        <v>10</v>
      </c>
      <c r="D35" s="11">
        <v>4405</v>
      </c>
      <c r="E35" s="11">
        <v>16263.39393939394</v>
      </c>
      <c r="F35" s="11">
        <v>18898.108655890061</v>
      </c>
      <c r="G35" s="11">
        <v>20642</v>
      </c>
      <c r="H35" s="11">
        <v>28292</v>
      </c>
      <c r="I35" s="11">
        <v>35280</v>
      </c>
      <c r="J35" s="11">
        <v>43914</v>
      </c>
      <c r="K35" s="11">
        <v>47384</v>
      </c>
      <c r="L35" s="11">
        <v>49306</v>
      </c>
      <c r="M35" s="11">
        <v>49281</v>
      </c>
      <c r="N35" s="11">
        <v>0.02</v>
      </c>
      <c r="O35" s="11">
        <f t="shared" si="0"/>
        <v>0</v>
      </c>
      <c r="P35" s="11">
        <v>1</v>
      </c>
      <c r="Q35" s="11">
        <v>1</v>
      </c>
      <c r="R35" s="11">
        <v>0</v>
      </c>
      <c r="S35" s="11">
        <v>1</v>
      </c>
      <c r="T35" s="11">
        <v>1</v>
      </c>
      <c r="U35" s="11">
        <v>1</v>
      </c>
      <c r="V35" s="11">
        <v>1</v>
      </c>
      <c r="W35" s="11">
        <v>1</v>
      </c>
      <c r="X35" s="11">
        <v>0</v>
      </c>
      <c r="Y35" s="11">
        <v>0</v>
      </c>
      <c r="Z35" s="11">
        <v>0</v>
      </c>
      <c r="AA35" s="11">
        <v>352</v>
      </c>
      <c r="AB35" s="11">
        <v>365</v>
      </c>
      <c r="AE35" s="11">
        <f>6+30/60</f>
        <v>6.5</v>
      </c>
      <c r="AF35" s="11">
        <f>7</f>
        <v>7</v>
      </c>
      <c r="AI35" s="11">
        <v>230</v>
      </c>
      <c r="AJ35" s="11">
        <v>241</v>
      </c>
      <c r="AM35" s="11">
        <v>233</v>
      </c>
      <c r="AN35" s="11">
        <v>242</v>
      </c>
      <c r="AO35" s="11">
        <f>0</f>
        <v>0</v>
      </c>
      <c r="AP35" s="11">
        <f>0</f>
        <v>0</v>
      </c>
      <c r="AQ35" s="11">
        <f>0</f>
        <v>0</v>
      </c>
      <c r="AR35" s="11">
        <f>0</f>
        <v>0</v>
      </c>
      <c r="AS35" s="11">
        <v>0</v>
      </c>
      <c r="AT35" s="11">
        <v>1</v>
      </c>
      <c r="AU35" s="11">
        <v>1</v>
      </c>
      <c r="AV35" s="11">
        <v>1</v>
      </c>
      <c r="AW35" s="11">
        <v>1</v>
      </c>
      <c r="AX35" s="11">
        <v>0</v>
      </c>
      <c r="AY35" s="11">
        <v>0</v>
      </c>
      <c r="AZ35" s="11">
        <v>0</v>
      </c>
      <c r="BA35" s="11">
        <v>0</v>
      </c>
      <c r="BB35" s="11">
        <v>0</v>
      </c>
      <c r="BC35" s="11">
        <v>0</v>
      </c>
      <c r="BD35" s="11">
        <v>0</v>
      </c>
      <c r="BE35" s="11">
        <v>0</v>
      </c>
      <c r="BF35" s="11">
        <v>0</v>
      </c>
      <c r="BG35" s="11">
        <v>1</v>
      </c>
      <c r="BH35" s="11">
        <v>0</v>
      </c>
      <c r="BI35" s="11">
        <v>1</v>
      </c>
      <c r="BJ35" s="11">
        <v>1</v>
      </c>
      <c r="BK35" s="11">
        <v>1</v>
      </c>
      <c r="BL35" s="11">
        <v>2177.9290000000001</v>
      </c>
      <c r="BM35" s="11">
        <v>1437.481</v>
      </c>
      <c r="BN35" s="11">
        <v>20.987290000000002</v>
      </c>
      <c r="BO35" s="11">
        <v>13.97978</v>
      </c>
      <c r="BP35" s="11">
        <v>701</v>
      </c>
      <c r="BQ35" s="11">
        <v>1411</v>
      </c>
      <c r="BR35" s="11">
        <v>1</v>
      </c>
      <c r="BS35" s="11">
        <v>1</v>
      </c>
      <c r="BT35" s="11">
        <v>526054</v>
      </c>
      <c r="BU35" s="11">
        <v>227438</v>
      </c>
      <c r="BV35" s="11">
        <v>374</v>
      </c>
      <c r="BW35" s="11">
        <v>407049</v>
      </c>
      <c r="BX35" s="11">
        <v>267</v>
      </c>
      <c r="BY35" s="11">
        <v>456839</v>
      </c>
      <c r="BZ35" s="11">
        <v>126</v>
      </c>
      <c r="CA35" s="11">
        <v>202040</v>
      </c>
      <c r="CB35" s="11">
        <v>208</v>
      </c>
      <c r="CC35" s="11">
        <v>526581</v>
      </c>
      <c r="CD35" s="11">
        <v>275</v>
      </c>
      <c r="CE35" s="11">
        <v>903985</v>
      </c>
      <c r="CF35" s="11">
        <v>109</v>
      </c>
      <c r="CG35" s="11">
        <v>564000</v>
      </c>
      <c r="CH35" s="11">
        <v>1</v>
      </c>
      <c r="CI35" s="11">
        <v>1</v>
      </c>
      <c r="CJ35" s="11">
        <v>1</v>
      </c>
      <c r="CK35" s="11">
        <v>1</v>
      </c>
      <c r="CL35" s="11">
        <v>1</v>
      </c>
      <c r="CM35" s="11">
        <v>1</v>
      </c>
      <c r="CN35" s="11">
        <v>1</v>
      </c>
      <c r="CO35" s="11">
        <v>1</v>
      </c>
      <c r="CP35" s="11">
        <v>1</v>
      </c>
      <c r="CQ35" s="11">
        <v>1</v>
      </c>
      <c r="CR35" s="11">
        <v>1</v>
      </c>
      <c r="CS35" s="11">
        <v>1</v>
      </c>
      <c r="CT35" s="11">
        <v>31</v>
      </c>
      <c r="CU35" s="11">
        <v>52.333333333333336</v>
      </c>
      <c r="CV35" s="12">
        <v>0</v>
      </c>
      <c r="CW35" s="12">
        <v>0</v>
      </c>
      <c r="CX35" s="11">
        <v>0</v>
      </c>
      <c r="CY35" s="11">
        <v>0</v>
      </c>
      <c r="CZ35" s="11">
        <v>0</v>
      </c>
      <c r="DA35" s="11">
        <v>0</v>
      </c>
      <c r="DB35" s="11">
        <v>0</v>
      </c>
      <c r="DC35" s="11">
        <v>0</v>
      </c>
      <c r="DD35" s="11">
        <v>0</v>
      </c>
      <c r="DG35" s="11">
        <v>252.33699999999999</v>
      </c>
      <c r="DH35" s="11">
        <v>254.8</v>
      </c>
      <c r="DI35" s="11">
        <v>108787.11285758173</v>
      </c>
      <c r="DJ35" s="11">
        <v>67454</v>
      </c>
      <c r="DK35" s="11">
        <v>29468</v>
      </c>
      <c r="DL35" s="11">
        <v>167997</v>
      </c>
      <c r="DM35" s="11">
        <v>271770</v>
      </c>
      <c r="DN35" s="11">
        <v>429850</v>
      </c>
      <c r="DO35" s="11">
        <v>417926</v>
      </c>
      <c r="DP35" s="11">
        <v>506928</v>
      </c>
      <c r="DQ35" s="11">
        <v>756819</v>
      </c>
      <c r="DR35" s="11">
        <v>1407165</v>
      </c>
      <c r="DS35" s="11">
        <v>1573810</v>
      </c>
      <c r="DT35" s="11">
        <v>1702298</v>
      </c>
      <c r="DU35" s="11">
        <v>2174062</v>
      </c>
      <c r="DV35" s="11">
        <v>2676919</v>
      </c>
      <c r="DW35" s="11">
        <v>3129383</v>
      </c>
      <c r="DX35" s="11">
        <v>3307084</v>
      </c>
      <c r="DY35" s="11">
        <v>3618303</v>
      </c>
      <c r="DZ35" s="11">
        <v>4027947</v>
      </c>
      <c r="EA35" s="11">
        <v>442.75</v>
      </c>
      <c r="EB35" s="11">
        <v>252.61250000000001</v>
      </c>
      <c r="EE35" s="11">
        <f t="shared" si="1"/>
        <v>0</v>
      </c>
      <c r="EF35" s="11">
        <v>1</v>
      </c>
      <c r="EG35" s="11">
        <v>0</v>
      </c>
      <c r="EH35" s="11">
        <v>0</v>
      </c>
      <c r="EI35" s="11">
        <v>0</v>
      </c>
      <c r="EJ35" s="11">
        <v>0</v>
      </c>
      <c r="EK35" s="11">
        <v>0</v>
      </c>
      <c r="EL35" s="11">
        <v>1</v>
      </c>
      <c r="EM35" s="11">
        <v>0</v>
      </c>
      <c r="EN35" s="11">
        <v>0</v>
      </c>
      <c r="EO35" s="11">
        <v>0</v>
      </c>
      <c r="EP35" s="11">
        <v>0</v>
      </c>
      <c r="EQ35" s="11">
        <v>0.2656327338722983</v>
      </c>
      <c r="ER35" s="11">
        <v>0.32282901611395259</v>
      </c>
      <c r="ES35" s="11">
        <v>0.2014519056261343</v>
      </c>
      <c r="ET35" s="11">
        <v>9.442886212396194E-2</v>
      </c>
      <c r="EU35" s="11">
        <v>14.962606837606836</v>
      </c>
      <c r="EV35" s="11">
        <v>2.6168981000000002</v>
      </c>
    </row>
    <row r="36" spans="1:152" x14ac:dyDescent="0.2">
      <c r="A36" s="11">
        <v>27</v>
      </c>
      <c r="B36" s="11">
        <v>34</v>
      </c>
      <c r="C36" s="11" t="s">
        <v>26</v>
      </c>
      <c r="D36" s="11">
        <v>4836</v>
      </c>
      <c r="E36" s="11">
        <v>7891.9882454664112</v>
      </c>
      <c r="F36" s="11">
        <v>8447.0787696650495</v>
      </c>
      <c r="G36" s="11">
        <v>8424.1074138476124</v>
      </c>
      <c r="H36" s="11">
        <v>11036.582911792602</v>
      </c>
      <c r="I36" s="11">
        <v>14848.319791337337</v>
      </c>
      <c r="J36" s="11">
        <v>15179.383496680366</v>
      </c>
      <c r="K36" s="11">
        <v>14247</v>
      </c>
      <c r="L36" s="11">
        <v>13464.811764705881</v>
      </c>
      <c r="M36" s="11">
        <v>12383.551557093424</v>
      </c>
      <c r="N36" s="11">
        <v>2E-3</v>
      </c>
      <c r="O36" s="11">
        <f t="shared" si="0"/>
        <v>0</v>
      </c>
      <c r="P36" s="11">
        <v>0</v>
      </c>
      <c r="Q36" s="11">
        <v>0</v>
      </c>
      <c r="R36" s="11">
        <v>0</v>
      </c>
      <c r="S36" s="11">
        <v>1</v>
      </c>
      <c r="T36" s="11">
        <v>1</v>
      </c>
      <c r="U36" s="11">
        <v>0</v>
      </c>
      <c r="V36" s="11">
        <v>0</v>
      </c>
      <c r="W36" s="11">
        <v>1</v>
      </c>
      <c r="X36" s="11">
        <v>0</v>
      </c>
      <c r="Y36" s="11">
        <v>117</v>
      </c>
      <c r="Z36" s="11">
        <v>257</v>
      </c>
      <c r="AA36" s="11">
        <v>0</v>
      </c>
      <c r="AB36" s="11">
        <v>0</v>
      </c>
      <c r="AC36" s="11">
        <f>2+5/60</f>
        <v>2.0833333333333335</v>
      </c>
      <c r="AD36" s="11">
        <f>3+40/60</f>
        <v>3.6666666666666665</v>
      </c>
      <c r="AG36" s="11">
        <v>73</v>
      </c>
      <c r="AH36" s="11">
        <v>153</v>
      </c>
      <c r="AK36" s="11">
        <v>68</v>
      </c>
      <c r="AL36" s="11">
        <v>163</v>
      </c>
      <c r="AO36" s="11">
        <f>0</f>
        <v>0</v>
      </c>
      <c r="AP36" s="11">
        <f>0</f>
        <v>0</v>
      </c>
      <c r="AQ36" s="11">
        <f>0</f>
        <v>0</v>
      </c>
      <c r="AR36" s="11">
        <f>0</f>
        <v>0</v>
      </c>
      <c r="AS36" s="11">
        <v>0</v>
      </c>
      <c r="AT36" s="11">
        <v>0</v>
      </c>
      <c r="AU36" s="11">
        <v>0</v>
      </c>
      <c r="AV36" s="11">
        <v>0</v>
      </c>
      <c r="AW36" s="11">
        <v>0</v>
      </c>
      <c r="AX36" s="11">
        <v>0</v>
      </c>
      <c r="AY36" s="11">
        <v>0</v>
      </c>
      <c r="AZ36" s="11">
        <v>0</v>
      </c>
      <c r="BA36" s="11">
        <v>0</v>
      </c>
      <c r="BB36" s="11">
        <v>0</v>
      </c>
      <c r="BC36" s="11">
        <v>0</v>
      </c>
      <c r="BD36" s="11">
        <v>0</v>
      </c>
      <c r="BE36" s="11">
        <v>0</v>
      </c>
      <c r="BF36" s="11">
        <v>0</v>
      </c>
      <c r="BG36" s="11">
        <v>0</v>
      </c>
      <c r="BH36" s="11">
        <v>0</v>
      </c>
      <c r="BI36" s="11">
        <v>1</v>
      </c>
      <c r="BJ36" s="11">
        <v>0</v>
      </c>
      <c r="BK36" s="11">
        <v>1</v>
      </c>
      <c r="BL36" s="11">
        <v>1775.76</v>
      </c>
      <c r="BM36" s="11">
        <v>580.39639999999997</v>
      </c>
      <c r="BN36" s="11">
        <v>19.264150000000001</v>
      </c>
      <c r="BO36" s="11">
        <v>10.622809999999999</v>
      </c>
      <c r="BP36" s="11">
        <v>249</v>
      </c>
      <c r="BQ36" s="11">
        <v>509</v>
      </c>
      <c r="BR36" s="11">
        <v>1</v>
      </c>
      <c r="BS36" s="11">
        <v>1</v>
      </c>
      <c r="BT36" s="11">
        <v>324866</v>
      </c>
      <c r="BU36" s="11">
        <v>216768</v>
      </c>
      <c r="BV36" s="11">
        <v>176</v>
      </c>
      <c r="BW36" s="11">
        <v>150952</v>
      </c>
      <c r="BX36" s="11">
        <v>169</v>
      </c>
      <c r="BY36" s="11">
        <v>150823</v>
      </c>
      <c r="BZ36" s="11">
        <v>62</v>
      </c>
      <c r="CA36" s="11">
        <v>57228</v>
      </c>
      <c r="CB36" s="11">
        <v>97</v>
      </c>
      <c r="CC36" s="11">
        <v>58690</v>
      </c>
      <c r="CD36" s="11">
        <v>110</v>
      </c>
      <c r="CE36" s="11">
        <v>47413</v>
      </c>
      <c r="CF36" s="11">
        <v>0</v>
      </c>
      <c r="CG36" s="11">
        <v>0</v>
      </c>
      <c r="CH36" s="11">
        <v>1</v>
      </c>
      <c r="CI36" s="11">
        <v>1</v>
      </c>
      <c r="CJ36" s="11">
        <v>1</v>
      </c>
      <c r="CK36" s="11">
        <v>1</v>
      </c>
      <c r="CL36" s="11">
        <v>1</v>
      </c>
      <c r="CM36" s="11">
        <v>1</v>
      </c>
      <c r="CN36" s="11">
        <v>1</v>
      </c>
      <c r="CO36" s="11">
        <v>0</v>
      </c>
      <c r="CP36" s="11">
        <v>0</v>
      </c>
      <c r="CQ36" s="11">
        <v>0</v>
      </c>
      <c r="CR36" s="11">
        <v>0</v>
      </c>
      <c r="CS36" s="11">
        <v>1</v>
      </c>
      <c r="CT36" s="11">
        <v>66.666666666666671</v>
      </c>
      <c r="CU36" s="11">
        <v>16.666666666666668</v>
      </c>
      <c r="CV36" s="12">
        <v>0</v>
      </c>
      <c r="CW36" s="12">
        <v>0</v>
      </c>
      <c r="CX36" s="11">
        <v>0</v>
      </c>
      <c r="CY36" s="11">
        <v>0</v>
      </c>
      <c r="CZ36" s="11">
        <v>0</v>
      </c>
      <c r="DA36" s="11">
        <v>0</v>
      </c>
      <c r="DB36" s="11">
        <v>0</v>
      </c>
      <c r="DC36" s="11">
        <v>0</v>
      </c>
      <c r="DD36" s="11">
        <v>0</v>
      </c>
      <c r="DE36" s="11">
        <v>94.21</v>
      </c>
      <c r="DF36" s="11">
        <v>218.898</v>
      </c>
      <c r="DI36" s="11">
        <v>108787.11285758173</v>
      </c>
      <c r="DJ36" s="11">
        <v>67454</v>
      </c>
      <c r="DK36" s="11">
        <v>29468</v>
      </c>
      <c r="DL36" s="11">
        <v>167997</v>
      </c>
      <c r="DM36" s="11">
        <v>271770</v>
      </c>
      <c r="DN36" s="11">
        <v>429850</v>
      </c>
      <c r="DO36" s="11">
        <v>417926</v>
      </c>
      <c r="DP36" s="11">
        <v>506928</v>
      </c>
      <c r="DQ36" s="11">
        <v>756819</v>
      </c>
      <c r="DR36" s="11">
        <v>1407165</v>
      </c>
      <c r="DS36" s="11">
        <v>1573810</v>
      </c>
      <c r="DT36" s="11">
        <v>1702298</v>
      </c>
      <c r="DU36" s="11">
        <v>2174062</v>
      </c>
      <c r="DV36" s="11">
        <v>2676919</v>
      </c>
      <c r="DW36" s="11">
        <v>3129383</v>
      </c>
      <c r="DX36" s="11">
        <v>3307084</v>
      </c>
      <c r="DY36" s="11">
        <v>3618303</v>
      </c>
      <c r="DZ36" s="11">
        <v>4027947</v>
      </c>
      <c r="EC36" s="11">
        <v>151.67500000000001</v>
      </c>
      <c r="ED36" s="11">
        <v>77.987499999999997</v>
      </c>
      <c r="EE36" s="11">
        <f t="shared" si="1"/>
        <v>0</v>
      </c>
      <c r="EF36" s="11">
        <v>1</v>
      </c>
      <c r="EG36" s="11">
        <v>0</v>
      </c>
      <c r="EH36" s="11">
        <v>0</v>
      </c>
      <c r="EI36" s="11">
        <v>0</v>
      </c>
      <c r="EJ36" s="11">
        <v>1</v>
      </c>
      <c r="EK36" s="11">
        <v>0</v>
      </c>
      <c r="EL36" s="11">
        <v>0</v>
      </c>
      <c r="EM36" s="11">
        <v>0</v>
      </c>
      <c r="EN36" s="11">
        <v>0</v>
      </c>
      <c r="EO36" s="11">
        <v>0</v>
      </c>
      <c r="EP36" s="11">
        <v>0</v>
      </c>
      <c r="EQ36" s="11">
        <v>0.32297000731528896</v>
      </c>
      <c r="ER36" s="11">
        <v>0.32370153621068032</v>
      </c>
      <c r="ES36" s="11">
        <v>0.18013899049012436</v>
      </c>
      <c r="ET36" s="11">
        <v>6.5837600585223116E-2</v>
      </c>
      <c r="EU36" s="11">
        <v>0.65354510221141426</v>
      </c>
      <c r="EV36" s="11">
        <v>2.2259415999999996</v>
      </c>
    </row>
    <row r="37" spans="1:152" x14ac:dyDescent="0.2">
      <c r="A37" s="11">
        <v>54</v>
      </c>
      <c r="B37" s="11">
        <v>35</v>
      </c>
      <c r="C37" s="11" t="s">
        <v>56</v>
      </c>
      <c r="D37" s="11">
        <v>0</v>
      </c>
      <c r="E37" s="11">
        <v>1559.9712034773161</v>
      </c>
      <c r="F37" s="11">
        <v>1431.5996429541663</v>
      </c>
      <c r="G37" s="11">
        <v>1411</v>
      </c>
      <c r="H37" s="11">
        <v>1626</v>
      </c>
      <c r="I37" s="11">
        <v>1458</v>
      </c>
      <c r="J37" s="11">
        <v>1399</v>
      </c>
      <c r="K37" s="11">
        <v>1496</v>
      </c>
      <c r="L37" s="11">
        <v>1402.9308755760369</v>
      </c>
      <c r="M37" s="11">
        <v>1116.8294930875577</v>
      </c>
      <c r="N37" s="11">
        <v>2.5999999999999999E-2</v>
      </c>
      <c r="O37" s="11">
        <f t="shared" si="0"/>
        <v>1</v>
      </c>
      <c r="P37" s="11">
        <v>0</v>
      </c>
      <c r="Q37" s="11">
        <v>1</v>
      </c>
      <c r="R37" s="11">
        <v>0</v>
      </c>
      <c r="S37" s="11">
        <v>0</v>
      </c>
      <c r="T37" s="11">
        <v>0</v>
      </c>
      <c r="U37" s="11">
        <v>1</v>
      </c>
      <c r="V37" s="11">
        <v>1</v>
      </c>
      <c r="W37" s="11">
        <v>0</v>
      </c>
      <c r="X37" s="11">
        <v>66</v>
      </c>
      <c r="Y37" s="11">
        <v>0</v>
      </c>
      <c r="Z37" s="11">
        <v>0</v>
      </c>
      <c r="AA37" s="11">
        <v>288</v>
      </c>
      <c r="AB37" s="11">
        <v>362</v>
      </c>
      <c r="AE37" s="11">
        <f>5+10/60</f>
        <v>5.166666666666667</v>
      </c>
      <c r="AF37" s="11">
        <f>6+45/60</f>
        <v>6.75</v>
      </c>
      <c r="AI37" s="11">
        <v>186</v>
      </c>
      <c r="AJ37" s="11">
        <v>236</v>
      </c>
      <c r="AM37" s="11">
        <v>200</v>
      </c>
      <c r="AN37" s="11">
        <v>233</v>
      </c>
      <c r="AO37" s="11">
        <f>0</f>
        <v>0</v>
      </c>
      <c r="AP37" s="11">
        <f>0</f>
        <v>0</v>
      </c>
      <c r="AQ37" s="11">
        <f>0</f>
        <v>0</v>
      </c>
      <c r="AR37" s="11">
        <f>0</f>
        <v>0</v>
      </c>
      <c r="AS37" s="11">
        <v>0</v>
      </c>
      <c r="AT37" s="11">
        <v>0</v>
      </c>
      <c r="AU37" s="11">
        <v>0</v>
      </c>
      <c r="AV37" s="11">
        <v>0</v>
      </c>
      <c r="AW37" s="11">
        <v>0</v>
      </c>
      <c r="AX37" s="11">
        <v>0</v>
      </c>
      <c r="AY37" s="11">
        <v>0</v>
      </c>
      <c r="AZ37" s="11">
        <v>0</v>
      </c>
      <c r="BA37" s="11">
        <v>0</v>
      </c>
      <c r="BB37" s="11">
        <v>0</v>
      </c>
      <c r="BC37" s="11">
        <v>0</v>
      </c>
      <c r="BD37" s="11">
        <v>0</v>
      </c>
      <c r="BE37" s="11">
        <v>0</v>
      </c>
      <c r="BF37" s="11">
        <v>0</v>
      </c>
      <c r="BG37" s="11">
        <v>0</v>
      </c>
      <c r="BH37" s="11">
        <v>0</v>
      </c>
      <c r="BI37" s="11">
        <v>0</v>
      </c>
      <c r="BJ37" s="11">
        <v>0</v>
      </c>
      <c r="BK37" s="11">
        <v>0</v>
      </c>
      <c r="BL37" s="11">
        <v>1805.5170000000001</v>
      </c>
      <c r="BM37" s="11">
        <v>1407.067</v>
      </c>
      <c r="BN37" s="11">
        <v>20.53171</v>
      </c>
      <c r="BO37" s="11">
        <v>10.21842</v>
      </c>
      <c r="BP37" s="11">
        <v>0</v>
      </c>
      <c r="BQ37" s="11">
        <v>0</v>
      </c>
      <c r="BR37" s="11">
        <v>0</v>
      </c>
      <c r="BS37" s="11">
        <v>0</v>
      </c>
      <c r="BT37" s="11">
        <v>0</v>
      </c>
      <c r="BU37" s="11">
        <v>0</v>
      </c>
      <c r="BV37" s="11">
        <v>0</v>
      </c>
      <c r="BW37" s="11">
        <v>0</v>
      </c>
      <c r="BX37" s="11">
        <v>0</v>
      </c>
      <c r="BY37" s="11">
        <v>0</v>
      </c>
      <c r="BZ37" s="11">
        <v>0</v>
      </c>
      <c r="CA37" s="11">
        <v>0</v>
      </c>
      <c r="CB37" s="11">
        <v>0</v>
      </c>
      <c r="CC37" s="11">
        <v>0</v>
      </c>
      <c r="CD37" s="11">
        <v>0</v>
      </c>
      <c r="CE37" s="11">
        <v>0</v>
      </c>
      <c r="CF37" s="11">
        <v>0</v>
      </c>
      <c r="CG37" s="11">
        <v>0</v>
      </c>
      <c r="CH37" s="11">
        <v>0</v>
      </c>
      <c r="CI37" s="11">
        <v>0</v>
      </c>
      <c r="CJ37" s="11">
        <v>0</v>
      </c>
      <c r="CK37" s="11">
        <v>0</v>
      </c>
      <c r="CL37" s="11">
        <v>0</v>
      </c>
      <c r="CM37" s="11">
        <v>0</v>
      </c>
      <c r="CN37" s="11">
        <v>0</v>
      </c>
      <c r="CO37" s="11">
        <v>0</v>
      </c>
      <c r="CP37" s="11">
        <v>0</v>
      </c>
      <c r="CQ37" s="11">
        <v>0</v>
      </c>
      <c r="CR37" s="11">
        <v>0</v>
      </c>
      <c r="CS37" s="11">
        <v>1</v>
      </c>
      <c r="CT37" s="11">
        <v>55.666666666666664</v>
      </c>
      <c r="CU37" s="11">
        <v>44.666666666666664</v>
      </c>
      <c r="CV37" s="12">
        <v>0</v>
      </c>
      <c r="CW37" s="12">
        <v>0</v>
      </c>
      <c r="CX37" s="11">
        <v>0</v>
      </c>
      <c r="CY37" s="11">
        <v>0</v>
      </c>
      <c r="CZ37" s="11">
        <v>0</v>
      </c>
      <c r="DA37" s="11">
        <v>0</v>
      </c>
      <c r="DB37" s="11">
        <v>0</v>
      </c>
      <c r="DC37" s="11">
        <v>0</v>
      </c>
      <c r="DD37" s="11">
        <v>0</v>
      </c>
      <c r="DG37" s="11">
        <v>290.60300000000001</v>
      </c>
      <c r="DH37" s="11">
        <v>214.09800000000001</v>
      </c>
      <c r="DI37" s="11">
        <v>108787.11285758173</v>
      </c>
      <c r="DJ37" s="11">
        <v>67454</v>
      </c>
      <c r="DK37" s="11">
        <v>29468</v>
      </c>
      <c r="DL37" s="11">
        <v>167997</v>
      </c>
      <c r="DM37" s="11">
        <v>271770</v>
      </c>
      <c r="DN37" s="11">
        <v>429850</v>
      </c>
      <c r="DO37" s="11">
        <v>417926</v>
      </c>
      <c r="DP37" s="11">
        <v>506928</v>
      </c>
      <c r="DQ37" s="11">
        <v>756819</v>
      </c>
      <c r="DR37" s="11">
        <v>1407165</v>
      </c>
      <c r="DS37" s="11">
        <v>1573810</v>
      </c>
      <c r="DT37" s="11">
        <v>1702298</v>
      </c>
      <c r="DU37" s="11">
        <v>2174062</v>
      </c>
      <c r="DV37" s="11">
        <v>2676919</v>
      </c>
      <c r="DW37" s="11">
        <v>3129383</v>
      </c>
      <c r="DX37" s="11">
        <v>3307084</v>
      </c>
      <c r="DY37" s="11">
        <v>3618303</v>
      </c>
      <c r="DZ37" s="11">
        <v>4027947</v>
      </c>
      <c r="EA37" s="11">
        <v>209.95</v>
      </c>
      <c r="EB37" s="11">
        <v>218.76249999999999</v>
      </c>
      <c r="EE37" s="11">
        <f t="shared" si="1"/>
        <v>0</v>
      </c>
      <c r="EF37" s="11">
        <v>0</v>
      </c>
      <c r="EG37" s="11">
        <v>0</v>
      </c>
      <c r="EH37" s="11">
        <v>0</v>
      </c>
      <c r="EI37" s="11">
        <v>1</v>
      </c>
      <c r="EJ37" s="11">
        <v>0</v>
      </c>
      <c r="EK37" s="11">
        <v>0</v>
      </c>
      <c r="EL37" s="11">
        <v>1</v>
      </c>
      <c r="EM37" s="11">
        <v>0</v>
      </c>
      <c r="EN37" s="11">
        <v>0</v>
      </c>
      <c r="EO37" s="11">
        <v>0</v>
      </c>
      <c r="EP37" s="11">
        <v>0</v>
      </c>
      <c r="EQ37" s="11">
        <v>0.30433500442347389</v>
      </c>
      <c r="ER37" s="11">
        <v>0.32055440872898849</v>
      </c>
      <c r="ES37" s="11">
        <v>0.16484812739604837</v>
      </c>
      <c r="ET37" s="11">
        <v>5.8389855499852553E-2</v>
      </c>
      <c r="EU37" s="11">
        <v>19.543197616683216</v>
      </c>
      <c r="EV37" s="11">
        <v>1.8976999000000001</v>
      </c>
    </row>
    <row r="38" spans="1:152" x14ac:dyDescent="0.2">
      <c r="A38" s="11">
        <v>51</v>
      </c>
      <c r="B38" s="11">
        <v>36</v>
      </c>
      <c r="C38" s="13" t="s">
        <v>53</v>
      </c>
      <c r="D38" s="12">
        <v>0</v>
      </c>
      <c r="E38" s="12">
        <v>1763.4585854692621</v>
      </c>
      <c r="F38" s="12">
        <v>2186.7700520331473</v>
      </c>
      <c r="G38" s="12">
        <v>2253</v>
      </c>
      <c r="H38" s="12">
        <v>2871</v>
      </c>
      <c r="I38" s="12">
        <v>3129</v>
      </c>
      <c r="J38" s="12">
        <v>3796</v>
      </c>
      <c r="K38" s="14">
        <v>3661</v>
      </c>
      <c r="L38" s="12">
        <v>3620.7059748427673</v>
      </c>
      <c r="M38" s="12">
        <v>3355.9166666666665</v>
      </c>
      <c r="N38" s="27">
        <v>1.7000000000000001E-2</v>
      </c>
      <c r="O38" s="11">
        <f t="shared" si="0"/>
        <v>1</v>
      </c>
      <c r="P38" s="11">
        <v>0</v>
      </c>
      <c r="Q38" s="11">
        <v>1</v>
      </c>
      <c r="R38" s="11">
        <v>0</v>
      </c>
      <c r="S38" s="11">
        <v>1</v>
      </c>
      <c r="T38" s="11">
        <v>0</v>
      </c>
      <c r="U38" s="11">
        <v>1</v>
      </c>
      <c r="V38" s="11">
        <v>1</v>
      </c>
      <c r="W38" s="11">
        <v>0</v>
      </c>
      <c r="X38" s="11">
        <v>54</v>
      </c>
      <c r="Y38" s="11">
        <v>0</v>
      </c>
      <c r="Z38" s="11">
        <v>0</v>
      </c>
      <c r="AA38" s="11">
        <v>555</v>
      </c>
      <c r="AB38" s="11">
        <v>122</v>
      </c>
      <c r="AC38" s="28"/>
      <c r="AD38" s="28"/>
      <c r="AE38" s="28">
        <f>9+45/60</f>
        <v>9.75</v>
      </c>
      <c r="AF38" s="28">
        <f>2+15/60</f>
        <v>2.25</v>
      </c>
      <c r="AI38" s="11">
        <v>358</v>
      </c>
      <c r="AJ38" s="11">
        <v>85</v>
      </c>
      <c r="AM38" s="11">
        <v>398</v>
      </c>
      <c r="AN38" s="11">
        <v>84</v>
      </c>
      <c r="AO38" s="12">
        <f>0</f>
        <v>0</v>
      </c>
      <c r="AP38" s="12">
        <f>0</f>
        <v>0</v>
      </c>
      <c r="AQ38" s="12">
        <f>0</f>
        <v>0</v>
      </c>
      <c r="AR38" s="12">
        <f>0</f>
        <v>0</v>
      </c>
      <c r="AS38" s="14">
        <v>0</v>
      </c>
      <c r="AT38" s="14">
        <v>0</v>
      </c>
      <c r="AU38" s="14">
        <v>0</v>
      </c>
      <c r="AV38" s="14">
        <v>0</v>
      </c>
      <c r="AW38" s="14">
        <v>0</v>
      </c>
      <c r="AX38" s="12">
        <v>0</v>
      </c>
      <c r="AY38" s="12">
        <v>0</v>
      </c>
      <c r="AZ38" s="12">
        <v>0</v>
      </c>
      <c r="BA38" s="12">
        <v>0</v>
      </c>
      <c r="BB38" s="12">
        <v>0</v>
      </c>
      <c r="BC38" s="12">
        <v>0</v>
      </c>
      <c r="BD38" s="12">
        <v>0</v>
      </c>
      <c r="BE38" s="12">
        <v>0</v>
      </c>
      <c r="BF38" s="12">
        <v>0</v>
      </c>
      <c r="BG38" s="12">
        <v>0</v>
      </c>
      <c r="BH38" s="12">
        <v>0</v>
      </c>
      <c r="BI38" s="12">
        <v>0</v>
      </c>
      <c r="BJ38" s="12">
        <v>0</v>
      </c>
      <c r="BK38" s="12">
        <v>0</v>
      </c>
      <c r="BL38" s="12">
        <v>1941.855</v>
      </c>
      <c r="BM38" s="12">
        <v>1297.221</v>
      </c>
      <c r="BN38" s="12">
        <v>24.371849999999998</v>
      </c>
      <c r="BO38" s="12">
        <v>14.67259</v>
      </c>
      <c r="BP38" s="12">
        <v>0</v>
      </c>
      <c r="BQ38" s="12">
        <v>0</v>
      </c>
      <c r="BR38" s="12">
        <v>0</v>
      </c>
      <c r="BS38" s="12">
        <v>0</v>
      </c>
      <c r="BT38" s="12">
        <v>0</v>
      </c>
      <c r="BU38" s="12">
        <v>0</v>
      </c>
      <c r="BV38" s="12">
        <v>0</v>
      </c>
      <c r="BW38" s="12">
        <v>0</v>
      </c>
      <c r="BX38" s="12">
        <v>0</v>
      </c>
      <c r="BY38" s="12">
        <v>0</v>
      </c>
      <c r="BZ38" s="12">
        <v>0</v>
      </c>
      <c r="CA38" s="12">
        <v>0</v>
      </c>
      <c r="CB38" s="12">
        <v>0</v>
      </c>
      <c r="CC38" s="12">
        <v>0</v>
      </c>
      <c r="CD38" s="12">
        <v>0</v>
      </c>
      <c r="CE38" s="12">
        <v>0</v>
      </c>
      <c r="CF38" s="12">
        <v>0</v>
      </c>
      <c r="CG38" s="12">
        <v>0</v>
      </c>
      <c r="CH38" s="11">
        <v>0</v>
      </c>
      <c r="CI38" s="11">
        <v>0</v>
      </c>
      <c r="CJ38" s="11">
        <v>0</v>
      </c>
      <c r="CK38" s="11">
        <v>0</v>
      </c>
      <c r="CL38" s="11">
        <v>0</v>
      </c>
      <c r="CM38" s="11">
        <v>0</v>
      </c>
      <c r="CN38" s="11">
        <v>0</v>
      </c>
      <c r="CO38" s="29">
        <v>0</v>
      </c>
      <c r="CP38" s="29">
        <v>0</v>
      </c>
      <c r="CQ38" s="29">
        <v>0</v>
      </c>
      <c r="CR38" s="29">
        <v>0</v>
      </c>
      <c r="CS38" s="11">
        <v>1</v>
      </c>
      <c r="CT38" s="30">
        <v>36</v>
      </c>
      <c r="CU38" s="30">
        <v>47.333333333333336</v>
      </c>
      <c r="CV38" s="12">
        <v>0</v>
      </c>
      <c r="CW38" s="12">
        <v>0</v>
      </c>
      <c r="CX38" s="11">
        <v>0</v>
      </c>
      <c r="CY38" s="11">
        <v>0</v>
      </c>
      <c r="CZ38" s="11">
        <v>0</v>
      </c>
      <c r="DA38" s="11">
        <v>0</v>
      </c>
      <c r="DB38" s="11">
        <v>0</v>
      </c>
      <c r="DC38" s="11">
        <v>0</v>
      </c>
      <c r="DD38" s="11">
        <v>0</v>
      </c>
      <c r="DG38" s="11">
        <v>100.235</v>
      </c>
      <c r="DH38" s="11">
        <v>440.30099999999999</v>
      </c>
      <c r="DI38" s="12">
        <v>108787.11285758173</v>
      </c>
      <c r="DJ38" s="12">
        <v>67454</v>
      </c>
      <c r="DK38" s="12">
        <v>29468</v>
      </c>
      <c r="DL38" s="12">
        <v>167997</v>
      </c>
      <c r="DM38" s="12">
        <v>271770</v>
      </c>
      <c r="DN38" s="12">
        <v>429850</v>
      </c>
      <c r="DO38" s="12">
        <v>417926</v>
      </c>
      <c r="DP38" s="12">
        <v>506928</v>
      </c>
      <c r="DQ38" s="12">
        <v>756819</v>
      </c>
      <c r="DR38" s="12">
        <v>1407165</v>
      </c>
      <c r="DS38" s="12">
        <v>1573810</v>
      </c>
      <c r="DT38" s="12">
        <v>1702298</v>
      </c>
      <c r="DU38" s="12">
        <v>2174062</v>
      </c>
      <c r="DV38" s="12">
        <v>2676919</v>
      </c>
      <c r="DW38" s="12">
        <v>3129383</v>
      </c>
      <c r="DX38" s="12">
        <v>3307084</v>
      </c>
      <c r="DY38" s="12">
        <v>3618303</v>
      </c>
      <c r="DZ38" s="12">
        <v>4027947</v>
      </c>
      <c r="EA38" s="11">
        <v>127.0125</v>
      </c>
      <c r="EB38" s="33">
        <v>379.96249999999998</v>
      </c>
      <c r="EE38" s="11">
        <f t="shared" si="1"/>
        <v>0</v>
      </c>
      <c r="EF38" s="11">
        <v>0</v>
      </c>
      <c r="EG38" s="11">
        <v>0</v>
      </c>
      <c r="EH38" s="11">
        <v>1</v>
      </c>
      <c r="EI38" s="11">
        <v>0</v>
      </c>
      <c r="EJ38" s="11">
        <v>0</v>
      </c>
      <c r="EK38" s="11">
        <v>0</v>
      </c>
      <c r="EL38" s="11">
        <v>0</v>
      </c>
      <c r="EM38" s="11">
        <v>0</v>
      </c>
      <c r="EN38" s="11">
        <v>1</v>
      </c>
      <c r="EO38" s="11">
        <v>0</v>
      </c>
      <c r="EP38" s="11">
        <v>0</v>
      </c>
      <c r="EQ38" s="11">
        <v>0.35340372949898902</v>
      </c>
      <c r="ER38" s="11">
        <v>0.32105144911255895</v>
      </c>
      <c r="ES38" s="11">
        <v>0.16018872163558751</v>
      </c>
      <c r="ET38" s="11">
        <v>5.0101100876207595E-2</v>
      </c>
      <c r="EU38" s="11">
        <v>13.609772883688919</v>
      </c>
      <c r="EV38" s="11">
        <v>1.8976999000000001</v>
      </c>
    </row>
    <row r="39" spans="1:152" x14ac:dyDescent="0.2">
      <c r="A39" s="11">
        <v>13</v>
      </c>
      <c r="B39" s="11">
        <v>37</v>
      </c>
      <c r="C39" s="11" t="s">
        <v>12</v>
      </c>
      <c r="D39" s="12">
        <v>6534</v>
      </c>
      <c r="E39" s="12">
        <v>19902.021926100922</v>
      </c>
      <c r="F39" s="12">
        <v>24247.340371341037</v>
      </c>
      <c r="G39" s="12">
        <v>27294</v>
      </c>
      <c r="H39" s="12">
        <v>37775</v>
      </c>
      <c r="I39" s="12">
        <v>49140</v>
      </c>
      <c r="J39" s="12">
        <v>63873</v>
      </c>
      <c r="K39" s="12">
        <v>67405</v>
      </c>
      <c r="L39" s="12">
        <v>73862</v>
      </c>
      <c r="M39" s="12">
        <v>76032</v>
      </c>
      <c r="N39" s="27">
        <v>7.0000000000000001E-3</v>
      </c>
      <c r="O39" s="11">
        <f t="shared" si="0"/>
        <v>0</v>
      </c>
      <c r="P39" s="11">
        <v>0</v>
      </c>
      <c r="Q39" s="11">
        <v>0</v>
      </c>
      <c r="R39" s="11">
        <v>1</v>
      </c>
      <c r="S39" s="11">
        <v>1</v>
      </c>
      <c r="T39" s="11">
        <v>0</v>
      </c>
      <c r="U39" s="11">
        <v>1</v>
      </c>
      <c r="V39" s="11">
        <v>1</v>
      </c>
      <c r="W39" s="11">
        <v>0</v>
      </c>
      <c r="X39" s="11">
        <v>57</v>
      </c>
      <c r="Y39" s="11">
        <v>0</v>
      </c>
      <c r="Z39" s="11">
        <v>0</v>
      </c>
      <c r="AA39" s="11">
        <v>142</v>
      </c>
      <c r="AB39" s="11">
        <v>521</v>
      </c>
      <c r="AC39" s="28"/>
      <c r="AD39" s="28"/>
      <c r="AE39" s="28">
        <f>2+35/60</f>
        <v>2.5833333333333335</v>
      </c>
      <c r="AF39" s="28">
        <f>9+35/60</f>
        <v>9.5833333333333339</v>
      </c>
      <c r="AI39" s="11">
        <v>93</v>
      </c>
      <c r="AJ39" s="11">
        <v>346</v>
      </c>
      <c r="AM39" s="11">
        <v>97</v>
      </c>
      <c r="AN39" s="11">
        <v>352</v>
      </c>
      <c r="AO39" s="12">
        <f>0</f>
        <v>0</v>
      </c>
      <c r="AP39" s="12">
        <f>0</f>
        <v>0</v>
      </c>
      <c r="AQ39" s="12">
        <f>0</f>
        <v>0</v>
      </c>
      <c r="AR39" s="12">
        <f>0</f>
        <v>0</v>
      </c>
      <c r="AS39" s="12">
        <v>0</v>
      </c>
      <c r="AT39" s="12">
        <v>1</v>
      </c>
      <c r="AU39" s="12">
        <v>1</v>
      </c>
      <c r="AV39" s="12">
        <v>1</v>
      </c>
      <c r="AW39" s="12">
        <v>1</v>
      </c>
      <c r="AX39" s="12">
        <v>0</v>
      </c>
      <c r="AY39" s="12">
        <v>1</v>
      </c>
      <c r="AZ39" s="12">
        <v>1</v>
      </c>
      <c r="BA39" s="12">
        <v>1</v>
      </c>
      <c r="BB39" s="12">
        <v>1</v>
      </c>
      <c r="BC39" s="12">
        <v>1</v>
      </c>
      <c r="BD39" s="12">
        <v>1</v>
      </c>
      <c r="BE39" s="12">
        <v>1</v>
      </c>
      <c r="BF39" s="12">
        <v>1</v>
      </c>
      <c r="BG39" s="12">
        <v>0</v>
      </c>
      <c r="BH39" s="12">
        <v>1</v>
      </c>
      <c r="BI39" s="12">
        <v>1</v>
      </c>
      <c r="BJ39" s="12">
        <v>1</v>
      </c>
      <c r="BK39" s="12">
        <v>1</v>
      </c>
      <c r="BL39" s="12">
        <v>1779.7</v>
      </c>
      <c r="BM39" s="12">
        <v>982.4</v>
      </c>
      <c r="BN39" s="12">
        <v>21.724309999999999</v>
      </c>
      <c r="BO39" s="12">
        <v>12.681279999999999</v>
      </c>
      <c r="BP39" s="12">
        <v>1229</v>
      </c>
      <c r="BQ39" s="12">
        <v>1982</v>
      </c>
      <c r="BR39" s="12">
        <v>1</v>
      </c>
      <c r="BS39" s="12">
        <v>1</v>
      </c>
      <c r="BT39" s="12">
        <v>0</v>
      </c>
      <c r="BU39" s="12">
        <v>0</v>
      </c>
      <c r="BV39" s="12">
        <v>0</v>
      </c>
      <c r="BW39" s="12">
        <v>0</v>
      </c>
      <c r="BX39" s="12">
        <v>0</v>
      </c>
      <c r="BY39" s="12">
        <v>0</v>
      </c>
      <c r="BZ39" s="12">
        <v>0</v>
      </c>
      <c r="CA39" s="12">
        <v>0</v>
      </c>
      <c r="CB39" s="12">
        <v>0</v>
      </c>
      <c r="CC39" s="12">
        <v>0</v>
      </c>
      <c r="CD39" s="12">
        <v>0</v>
      </c>
      <c r="CE39" s="12">
        <v>0</v>
      </c>
      <c r="CF39" s="12">
        <v>0</v>
      </c>
      <c r="CG39" s="12">
        <v>0</v>
      </c>
      <c r="CH39" s="11">
        <v>0</v>
      </c>
      <c r="CI39" s="11">
        <v>0</v>
      </c>
      <c r="CJ39" s="11">
        <v>0</v>
      </c>
      <c r="CK39" s="11">
        <v>0</v>
      </c>
      <c r="CL39" s="11">
        <v>0</v>
      </c>
      <c r="CM39" s="11">
        <v>0</v>
      </c>
      <c r="CN39" s="11">
        <v>0</v>
      </c>
      <c r="CO39" s="29">
        <v>0</v>
      </c>
      <c r="CP39" s="29">
        <v>0</v>
      </c>
      <c r="CQ39" s="29">
        <v>0</v>
      </c>
      <c r="CR39" s="29">
        <v>0</v>
      </c>
      <c r="CS39" s="11">
        <v>1</v>
      </c>
      <c r="CT39" s="30">
        <v>22.666666666666668</v>
      </c>
      <c r="CU39" s="30">
        <v>28.333333333333332</v>
      </c>
      <c r="CV39" s="12">
        <v>0</v>
      </c>
      <c r="CW39" s="12">
        <v>0</v>
      </c>
      <c r="CX39" s="11">
        <v>0</v>
      </c>
      <c r="CY39" s="11">
        <v>0</v>
      </c>
      <c r="CZ39" s="11">
        <v>0</v>
      </c>
      <c r="DA39" s="11">
        <v>0</v>
      </c>
      <c r="DB39" s="11">
        <v>0</v>
      </c>
      <c r="DC39" s="11">
        <v>0</v>
      </c>
      <c r="DD39" s="11">
        <v>0</v>
      </c>
      <c r="DG39" s="11">
        <v>395.851</v>
      </c>
      <c r="DH39" s="11">
        <v>125.251</v>
      </c>
      <c r="DI39" s="12">
        <v>108787.11285758173</v>
      </c>
      <c r="DJ39" s="12">
        <v>67454</v>
      </c>
      <c r="DK39" s="12">
        <v>29468</v>
      </c>
      <c r="DL39" s="12">
        <v>167997</v>
      </c>
      <c r="DM39" s="12">
        <v>271770</v>
      </c>
      <c r="DN39" s="12">
        <v>429850</v>
      </c>
      <c r="DO39" s="12">
        <v>417926</v>
      </c>
      <c r="DP39" s="12">
        <v>506928</v>
      </c>
      <c r="DQ39" s="12">
        <v>756819</v>
      </c>
      <c r="DR39" s="12">
        <v>1407165</v>
      </c>
      <c r="DS39" s="12">
        <v>1573810</v>
      </c>
      <c r="DT39" s="12">
        <v>1702298</v>
      </c>
      <c r="DU39" s="12">
        <v>2174062</v>
      </c>
      <c r="DV39" s="12">
        <v>2676919</v>
      </c>
      <c r="DW39" s="12">
        <v>3129383</v>
      </c>
      <c r="DX39" s="12">
        <v>3307084</v>
      </c>
      <c r="DY39" s="12">
        <v>3618303</v>
      </c>
      <c r="DZ39" s="12">
        <v>4027947</v>
      </c>
      <c r="EA39" s="11">
        <v>339.4</v>
      </c>
      <c r="EB39" s="11">
        <v>89.3125</v>
      </c>
      <c r="EE39" s="11">
        <f t="shared" si="1"/>
        <v>0</v>
      </c>
      <c r="EF39" s="11">
        <v>1</v>
      </c>
      <c r="EG39" s="11">
        <v>0</v>
      </c>
      <c r="EH39" s="11">
        <v>0</v>
      </c>
      <c r="EI39" s="11">
        <v>0</v>
      </c>
      <c r="EJ39" s="11">
        <v>0</v>
      </c>
      <c r="EK39" s="11">
        <v>0</v>
      </c>
      <c r="EL39" s="11">
        <v>0</v>
      </c>
      <c r="EM39" s="11">
        <v>0</v>
      </c>
      <c r="EN39" s="11">
        <v>0</v>
      </c>
      <c r="EO39" s="11">
        <v>1</v>
      </c>
      <c r="EP39" s="11">
        <v>0</v>
      </c>
      <c r="EQ39" s="11">
        <v>0.21060236161626228</v>
      </c>
      <c r="ER39" s="11">
        <v>0.37830701011409495</v>
      </c>
      <c r="ES39" s="11">
        <v>0.16750535598624883</v>
      </c>
      <c r="ET39" s="11">
        <v>0.16416720641721888</v>
      </c>
      <c r="EU39" s="11">
        <v>9.414196123147093</v>
      </c>
      <c r="EV39" s="11">
        <v>4.0597645</v>
      </c>
    </row>
    <row r="40" spans="1:152" x14ac:dyDescent="0.2">
      <c r="A40" s="11">
        <v>3</v>
      </c>
      <c r="B40" s="11">
        <v>38</v>
      </c>
      <c r="C40" s="13" t="s">
        <v>2</v>
      </c>
      <c r="D40" s="12">
        <v>0</v>
      </c>
      <c r="E40" s="12">
        <v>3457.6072768868512</v>
      </c>
      <c r="F40" s="12">
        <v>3800.8201361877136</v>
      </c>
      <c r="G40" s="12">
        <v>4867.0256437539902</v>
      </c>
      <c r="H40" s="12">
        <v>6896.7915513939133</v>
      </c>
      <c r="I40" s="12">
        <v>9629.6213024047665</v>
      </c>
      <c r="J40" s="12">
        <v>12899.309427537773</v>
      </c>
      <c r="K40" s="14">
        <v>13823</v>
      </c>
      <c r="L40" s="14">
        <v>16267.19514429684</v>
      </c>
      <c r="M40" s="12">
        <v>22518</v>
      </c>
      <c r="N40" s="27">
        <v>1.9E-2</v>
      </c>
      <c r="O40" s="11">
        <f t="shared" si="0"/>
        <v>1</v>
      </c>
      <c r="P40" s="11">
        <v>0</v>
      </c>
      <c r="Q40" s="11">
        <v>0</v>
      </c>
      <c r="R40" s="11">
        <v>0</v>
      </c>
      <c r="S40" s="11">
        <v>1</v>
      </c>
      <c r="T40" s="11">
        <v>0</v>
      </c>
      <c r="U40" s="11">
        <v>1</v>
      </c>
      <c r="V40" s="11">
        <v>0</v>
      </c>
      <c r="W40" s="11">
        <v>0</v>
      </c>
      <c r="X40" s="11">
        <v>30</v>
      </c>
      <c r="Y40" s="11">
        <v>0</v>
      </c>
      <c r="Z40" s="11">
        <v>0</v>
      </c>
      <c r="AA40" s="11">
        <v>633</v>
      </c>
      <c r="AB40" s="11">
        <v>49</v>
      </c>
      <c r="AC40" s="28"/>
      <c r="AD40" s="28"/>
      <c r="AE40" s="28">
        <f>9+50/60</f>
        <v>9.8333333333333339</v>
      </c>
      <c r="AF40" s="28">
        <f>45/60</f>
        <v>0.75</v>
      </c>
      <c r="AI40" s="11">
        <v>401</v>
      </c>
      <c r="AJ40" s="11">
        <v>30</v>
      </c>
      <c r="AM40" s="11">
        <v>403</v>
      </c>
      <c r="AN40" s="11">
        <v>30</v>
      </c>
      <c r="AO40" s="12">
        <f>0</f>
        <v>0</v>
      </c>
      <c r="AP40" s="12">
        <f>0</f>
        <v>0</v>
      </c>
      <c r="AQ40" s="12">
        <f>0</f>
        <v>0</v>
      </c>
      <c r="AR40" s="12">
        <f>0</f>
        <v>0</v>
      </c>
      <c r="AS40" s="12">
        <v>0</v>
      </c>
      <c r="AT40" s="12">
        <v>0</v>
      </c>
      <c r="AU40" s="12">
        <v>0</v>
      </c>
      <c r="AV40" s="12">
        <v>0</v>
      </c>
      <c r="AW40" s="12">
        <v>0</v>
      </c>
      <c r="AX40" s="12">
        <v>0</v>
      </c>
      <c r="AY40" s="12">
        <v>0</v>
      </c>
      <c r="AZ40" s="12">
        <v>0</v>
      </c>
      <c r="BA40" s="12">
        <v>0</v>
      </c>
      <c r="BB40" s="12">
        <v>0</v>
      </c>
      <c r="BC40" s="12">
        <v>0</v>
      </c>
      <c r="BD40" s="12">
        <v>0</v>
      </c>
      <c r="BE40" s="12">
        <v>0</v>
      </c>
      <c r="BF40" s="12">
        <v>0</v>
      </c>
      <c r="BG40" s="12">
        <v>0</v>
      </c>
      <c r="BH40" s="12">
        <v>0</v>
      </c>
      <c r="BI40" s="12">
        <v>0</v>
      </c>
      <c r="BJ40" s="12">
        <v>0</v>
      </c>
      <c r="BK40" s="12">
        <v>0</v>
      </c>
      <c r="BL40" s="12">
        <v>1830.32</v>
      </c>
      <c r="BM40" s="12">
        <v>1334.556</v>
      </c>
      <c r="BN40" s="12">
        <v>22.888459999999998</v>
      </c>
      <c r="BO40" s="12">
        <v>14.62027</v>
      </c>
      <c r="BP40" s="12">
        <v>0</v>
      </c>
      <c r="BQ40" s="12">
        <v>0</v>
      </c>
      <c r="BR40" s="12">
        <v>0</v>
      </c>
      <c r="BS40" s="12">
        <v>0</v>
      </c>
      <c r="BT40" s="12">
        <v>0</v>
      </c>
      <c r="BU40" s="12">
        <v>0</v>
      </c>
      <c r="BV40" s="12">
        <v>0</v>
      </c>
      <c r="BW40" s="12">
        <v>0</v>
      </c>
      <c r="BX40" s="12">
        <v>0</v>
      </c>
      <c r="BY40" s="12">
        <v>0</v>
      </c>
      <c r="BZ40" s="12">
        <v>0</v>
      </c>
      <c r="CA40" s="12">
        <v>0</v>
      </c>
      <c r="CB40" s="12">
        <v>0</v>
      </c>
      <c r="CC40" s="12">
        <v>0</v>
      </c>
      <c r="CD40" s="12">
        <v>0</v>
      </c>
      <c r="CE40" s="12">
        <v>0</v>
      </c>
      <c r="CF40" s="12">
        <v>0</v>
      </c>
      <c r="CG40" s="12">
        <v>0</v>
      </c>
      <c r="CH40" s="11">
        <v>0</v>
      </c>
      <c r="CI40" s="11">
        <v>0</v>
      </c>
      <c r="CJ40" s="11">
        <v>0</v>
      </c>
      <c r="CK40" s="11">
        <v>0</v>
      </c>
      <c r="CL40" s="11">
        <v>0</v>
      </c>
      <c r="CM40" s="11">
        <v>0</v>
      </c>
      <c r="CN40" s="11">
        <v>0</v>
      </c>
      <c r="CO40" s="29">
        <v>0</v>
      </c>
      <c r="CP40" s="29">
        <v>0</v>
      </c>
      <c r="CQ40" s="29">
        <v>0</v>
      </c>
      <c r="CR40" s="29">
        <v>0</v>
      </c>
      <c r="CS40" s="11">
        <v>1</v>
      </c>
      <c r="CT40" s="30">
        <v>6.666666666666667</v>
      </c>
      <c r="CU40" s="30">
        <v>68.666666666666671</v>
      </c>
      <c r="CV40" s="12">
        <v>0</v>
      </c>
      <c r="CW40" s="12">
        <v>0</v>
      </c>
      <c r="CX40" s="11">
        <v>0</v>
      </c>
      <c r="CY40" s="11">
        <v>0</v>
      </c>
      <c r="CZ40" s="11">
        <v>0</v>
      </c>
      <c r="DA40" s="11">
        <v>0</v>
      </c>
      <c r="DB40" s="11">
        <v>0</v>
      </c>
      <c r="DC40" s="11">
        <v>0</v>
      </c>
      <c r="DD40" s="11">
        <v>0</v>
      </c>
      <c r="DG40" s="11">
        <v>41.183999999999997</v>
      </c>
      <c r="DH40" s="11">
        <v>453.57600000000002</v>
      </c>
      <c r="DI40" s="12">
        <v>108787.11285758173</v>
      </c>
      <c r="DJ40" s="12">
        <v>67454</v>
      </c>
      <c r="DK40" s="12">
        <v>29468</v>
      </c>
      <c r="DL40" s="12">
        <v>167997</v>
      </c>
      <c r="DM40" s="12">
        <v>271770</v>
      </c>
      <c r="DN40" s="12">
        <v>429850</v>
      </c>
      <c r="DO40" s="12">
        <v>417926</v>
      </c>
      <c r="DP40" s="12">
        <v>506928</v>
      </c>
      <c r="DQ40" s="12">
        <v>756819</v>
      </c>
      <c r="DR40" s="12">
        <v>1407165</v>
      </c>
      <c r="DS40" s="12">
        <v>1573810</v>
      </c>
      <c r="DT40" s="12">
        <v>1702298</v>
      </c>
      <c r="DU40" s="12">
        <v>2174062</v>
      </c>
      <c r="DV40" s="12">
        <v>2676919</v>
      </c>
      <c r="DW40" s="12">
        <v>3129383</v>
      </c>
      <c r="DX40" s="12">
        <v>3307084</v>
      </c>
      <c r="DY40" s="12">
        <v>3618303</v>
      </c>
      <c r="DZ40" s="12">
        <v>4027947</v>
      </c>
      <c r="EA40" s="11">
        <v>42.9</v>
      </c>
      <c r="EB40" s="11">
        <v>385.8125</v>
      </c>
      <c r="EE40" s="11">
        <f t="shared" si="1"/>
        <v>0</v>
      </c>
      <c r="EF40" s="11">
        <v>1</v>
      </c>
      <c r="EG40" s="11">
        <v>0</v>
      </c>
      <c r="EH40" s="11">
        <v>0</v>
      </c>
      <c r="EI40" s="11">
        <v>0</v>
      </c>
      <c r="EJ40" s="11">
        <v>0</v>
      </c>
      <c r="EK40" s="11">
        <v>0</v>
      </c>
      <c r="EL40" s="11">
        <v>0</v>
      </c>
      <c r="EM40" s="11">
        <v>0</v>
      </c>
      <c r="EN40" s="11">
        <v>1</v>
      </c>
      <c r="EO40" s="11">
        <v>0</v>
      </c>
      <c r="EP40" s="11">
        <v>0</v>
      </c>
      <c r="EQ40" s="11">
        <v>0.24962882980159265</v>
      </c>
      <c r="ER40" s="11">
        <v>0.35510865163989741</v>
      </c>
      <c r="ES40" s="11">
        <v>0.19327844513429612</v>
      </c>
      <c r="ET40" s="11">
        <v>8.9215818599001212E-2</v>
      </c>
      <c r="EU40" s="11">
        <v>18.069498069498067</v>
      </c>
      <c r="EV40" s="11">
        <v>3.4737358</v>
      </c>
    </row>
    <row r="41" spans="1:152" x14ac:dyDescent="0.2">
      <c r="A41" s="11">
        <v>47</v>
      </c>
      <c r="B41" s="11">
        <v>39</v>
      </c>
      <c r="C41" s="13" t="s">
        <v>49</v>
      </c>
      <c r="D41" s="12">
        <v>1768</v>
      </c>
      <c r="E41" s="12">
        <v>2092.6525506451831</v>
      </c>
      <c r="F41" s="12">
        <v>2246.1404894029552</v>
      </c>
      <c r="G41" s="14">
        <v>2385</v>
      </c>
      <c r="H41" s="14">
        <v>3150</v>
      </c>
      <c r="I41" s="14">
        <v>4117</v>
      </c>
      <c r="J41" s="14">
        <v>5991</v>
      </c>
      <c r="K41" s="14">
        <v>6674</v>
      </c>
      <c r="L41" s="12">
        <v>7797.5438596491222</v>
      </c>
      <c r="M41" s="12">
        <v>9217.5438596491222</v>
      </c>
      <c r="N41" s="27">
        <v>3.0000000000000001E-3</v>
      </c>
      <c r="O41" s="11">
        <f t="shared" si="0"/>
        <v>0</v>
      </c>
      <c r="P41" s="11">
        <v>0</v>
      </c>
      <c r="Q41" s="11">
        <v>0</v>
      </c>
      <c r="R41" s="11">
        <v>0</v>
      </c>
      <c r="S41" s="11">
        <v>1</v>
      </c>
      <c r="T41" s="11">
        <v>1</v>
      </c>
      <c r="U41" s="11">
        <v>0</v>
      </c>
      <c r="V41" s="11">
        <v>0</v>
      </c>
      <c r="W41" s="11">
        <v>0</v>
      </c>
      <c r="X41" s="11">
        <v>20</v>
      </c>
      <c r="Y41" s="11">
        <v>404</v>
      </c>
      <c r="Z41" s="11">
        <v>30</v>
      </c>
      <c r="AA41" s="11">
        <v>0</v>
      </c>
      <c r="AB41" s="11">
        <v>0</v>
      </c>
      <c r="AC41" s="28">
        <f>6+20/60</f>
        <v>6.333333333333333</v>
      </c>
      <c r="AD41" s="28">
        <f>25/60</f>
        <v>0.41666666666666669</v>
      </c>
      <c r="AE41" s="28"/>
      <c r="AF41" s="28"/>
      <c r="AG41" s="11">
        <v>246</v>
      </c>
      <c r="AH41" s="11">
        <v>20</v>
      </c>
      <c r="AK41" s="11">
        <v>251</v>
      </c>
      <c r="AL41" s="11">
        <v>20</v>
      </c>
      <c r="AO41" s="12">
        <f>0</f>
        <v>0</v>
      </c>
      <c r="AP41" s="12">
        <f>0</f>
        <v>0</v>
      </c>
      <c r="AQ41" s="12">
        <f>0</f>
        <v>0</v>
      </c>
      <c r="AR41" s="12">
        <f>0</f>
        <v>0</v>
      </c>
      <c r="AS41" s="12">
        <v>0</v>
      </c>
      <c r="AT41" s="12">
        <v>0</v>
      </c>
      <c r="AU41" s="12">
        <v>0</v>
      </c>
      <c r="AV41" s="12">
        <v>0</v>
      </c>
      <c r="AW41" s="12">
        <v>0</v>
      </c>
      <c r="AX41" s="12">
        <v>0</v>
      </c>
      <c r="AY41" s="12">
        <v>0</v>
      </c>
      <c r="AZ41" s="12">
        <v>0</v>
      </c>
      <c r="BA41" s="12">
        <v>0</v>
      </c>
      <c r="BB41" s="12">
        <v>0</v>
      </c>
      <c r="BC41" s="12">
        <v>0</v>
      </c>
      <c r="BD41" s="12">
        <v>0</v>
      </c>
      <c r="BE41" s="12">
        <v>0</v>
      </c>
      <c r="BF41" s="12">
        <v>0</v>
      </c>
      <c r="BG41" s="12">
        <v>0</v>
      </c>
      <c r="BH41" s="12">
        <v>0</v>
      </c>
      <c r="BI41" s="12">
        <v>0</v>
      </c>
      <c r="BJ41" s="12">
        <v>0</v>
      </c>
      <c r="BK41" s="12">
        <v>0</v>
      </c>
      <c r="BL41" s="12">
        <v>2102.9</v>
      </c>
      <c r="BM41" s="12">
        <v>694.12109999999996</v>
      </c>
      <c r="BN41" s="12">
        <v>21.835640000000001</v>
      </c>
      <c r="BO41" s="12">
        <v>11.569699999999999</v>
      </c>
      <c r="BP41" s="12">
        <v>0</v>
      </c>
      <c r="BQ41" s="12">
        <v>0</v>
      </c>
      <c r="BR41" s="12">
        <v>0</v>
      </c>
      <c r="BS41" s="12">
        <v>0</v>
      </c>
      <c r="BT41" s="12">
        <v>0</v>
      </c>
      <c r="BU41" s="12">
        <v>0</v>
      </c>
      <c r="BV41" s="12">
        <v>0</v>
      </c>
      <c r="BW41" s="12">
        <v>0</v>
      </c>
      <c r="BX41" s="12">
        <v>0</v>
      </c>
      <c r="BY41" s="12">
        <v>0</v>
      </c>
      <c r="BZ41" s="12">
        <v>0</v>
      </c>
      <c r="CA41" s="12">
        <v>0</v>
      </c>
      <c r="CB41" s="12">
        <v>0</v>
      </c>
      <c r="CC41" s="12">
        <v>0</v>
      </c>
      <c r="CD41" s="12">
        <v>0</v>
      </c>
      <c r="CE41" s="12">
        <v>0</v>
      </c>
      <c r="CF41" s="12">
        <v>0</v>
      </c>
      <c r="CG41" s="12">
        <v>0</v>
      </c>
      <c r="CH41" s="11">
        <v>0</v>
      </c>
      <c r="CI41" s="11">
        <v>0</v>
      </c>
      <c r="CJ41" s="11">
        <v>0</v>
      </c>
      <c r="CK41" s="11">
        <v>0</v>
      </c>
      <c r="CL41" s="11">
        <v>0</v>
      </c>
      <c r="CM41" s="11">
        <v>0</v>
      </c>
      <c r="CN41" s="11">
        <v>0</v>
      </c>
      <c r="CO41" s="29">
        <v>0</v>
      </c>
      <c r="CP41" s="29">
        <v>0</v>
      </c>
      <c r="CQ41" s="29">
        <v>0</v>
      </c>
      <c r="CR41" s="29">
        <v>0</v>
      </c>
      <c r="CS41" s="11">
        <v>1</v>
      </c>
      <c r="CT41" s="30">
        <v>29.666666666666668</v>
      </c>
      <c r="CU41" s="30">
        <v>29.666666666666668</v>
      </c>
      <c r="CV41" s="12">
        <v>0</v>
      </c>
      <c r="CW41" s="12">
        <v>0</v>
      </c>
      <c r="CX41" s="11">
        <v>0</v>
      </c>
      <c r="CY41" s="11">
        <v>0</v>
      </c>
      <c r="CZ41" s="11">
        <v>0</v>
      </c>
      <c r="DA41" s="11">
        <v>0</v>
      </c>
      <c r="DB41" s="11">
        <v>0</v>
      </c>
      <c r="DC41" s="11">
        <v>0</v>
      </c>
      <c r="DD41" s="11">
        <v>0</v>
      </c>
      <c r="DE41" s="11">
        <v>330.91300000000001</v>
      </c>
      <c r="DF41" s="11">
        <v>25.619</v>
      </c>
      <c r="DI41" s="12">
        <v>108787.11285758173</v>
      </c>
      <c r="DJ41" s="12">
        <v>67454</v>
      </c>
      <c r="DK41" s="12">
        <v>29468</v>
      </c>
      <c r="DL41" s="12">
        <v>167997</v>
      </c>
      <c r="DM41" s="12">
        <v>271770</v>
      </c>
      <c r="DN41" s="12">
        <v>429850</v>
      </c>
      <c r="DO41" s="12">
        <v>417926</v>
      </c>
      <c r="DP41" s="12">
        <v>506928</v>
      </c>
      <c r="DQ41" s="12">
        <v>756819</v>
      </c>
      <c r="DR41" s="12">
        <v>1407165</v>
      </c>
      <c r="DS41" s="12">
        <v>1573810</v>
      </c>
      <c r="DT41" s="12">
        <v>1702298</v>
      </c>
      <c r="DU41" s="12">
        <v>2174062</v>
      </c>
      <c r="DV41" s="12">
        <v>2676919</v>
      </c>
      <c r="DW41" s="12">
        <v>3129383</v>
      </c>
      <c r="DX41" s="12">
        <v>3307084</v>
      </c>
      <c r="DY41" s="12">
        <v>3618303</v>
      </c>
      <c r="DZ41" s="12">
        <v>4027947</v>
      </c>
      <c r="EC41" s="11">
        <v>18.6875</v>
      </c>
      <c r="ED41" s="11">
        <v>248.35</v>
      </c>
      <c r="EE41" s="11">
        <f t="shared" si="1"/>
        <v>0</v>
      </c>
      <c r="EF41" s="11">
        <v>1</v>
      </c>
      <c r="EG41" s="11">
        <v>0</v>
      </c>
      <c r="EH41" s="11">
        <v>0</v>
      </c>
      <c r="EI41" s="11">
        <v>0</v>
      </c>
      <c r="EJ41" s="11">
        <v>0</v>
      </c>
      <c r="EK41" s="11">
        <v>0</v>
      </c>
      <c r="EL41" s="11">
        <v>0</v>
      </c>
      <c r="EM41" s="11">
        <v>0</v>
      </c>
      <c r="EN41" s="11">
        <v>0</v>
      </c>
      <c r="EO41" s="11">
        <v>0</v>
      </c>
      <c r="EP41" s="11">
        <v>1</v>
      </c>
      <c r="EQ41" s="11">
        <v>0.27025803531009507</v>
      </c>
      <c r="ER41" s="11">
        <v>0.35789950203712084</v>
      </c>
      <c r="ES41" s="11">
        <v>0.20316885468537799</v>
      </c>
      <c r="ET41" s="11">
        <v>8.3023992756903572E-2</v>
      </c>
      <c r="EU41" s="11">
        <v>0.53288172862931471</v>
      </c>
      <c r="EV41" s="11">
        <v>3.5504398999999998</v>
      </c>
    </row>
    <row r="42" spans="1:152" x14ac:dyDescent="0.2">
      <c r="A42" s="11">
        <v>6</v>
      </c>
      <c r="B42" s="11">
        <v>40</v>
      </c>
      <c r="C42" s="13" t="s">
        <v>5</v>
      </c>
      <c r="D42" s="12">
        <v>0</v>
      </c>
      <c r="E42" s="12">
        <v>4211.7455771825016</v>
      </c>
      <c r="F42" s="12">
        <v>6645.7865099248411</v>
      </c>
      <c r="G42" s="12">
        <v>7512</v>
      </c>
      <c r="H42" s="12">
        <v>12302</v>
      </c>
      <c r="I42" s="12">
        <v>33229</v>
      </c>
      <c r="J42" s="12">
        <v>46650</v>
      </c>
      <c r="K42" s="12">
        <v>48855</v>
      </c>
      <c r="L42" s="12">
        <v>52956</v>
      </c>
      <c r="M42" s="12">
        <v>53766</v>
      </c>
      <c r="N42" s="27">
        <v>1.7000000000000001E-2</v>
      </c>
      <c r="O42" s="11">
        <f t="shared" si="0"/>
        <v>1</v>
      </c>
      <c r="P42" s="11">
        <v>0</v>
      </c>
      <c r="Q42" s="11">
        <v>1</v>
      </c>
      <c r="R42" s="11">
        <v>0</v>
      </c>
      <c r="S42" s="11">
        <v>1</v>
      </c>
      <c r="T42" s="11">
        <v>0</v>
      </c>
      <c r="U42" s="11">
        <v>1</v>
      </c>
      <c r="V42" s="11">
        <v>1</v>
      </c>
      <c r="W42" s="11">
        <v>0</v>
      </c>
      <c r="X42" s="11">
        <v>40</v>
      </c>
      <c r="Y42" s="11">
        <v>0</v>
      </c>
      <c r="Z42" s="11">
        <v>0</v>
      </c>
      <c r="AA42" s="11">
        <v>454</v>
      </c>
      <c r="AB42" s="11">
        <v>235</v>
      </c>
      <c r="AC42" s="28"/>
      <c r="AD42" s="28"/>
      <c r="AE42" s="28">
        <f>8+10/60</f>
        <v>8.1666666666666661</v>
      </c>
      <c r="AF42" s="28">
        <f>4+10/60</f>
        <v>4.166666666666667</v>
      </c>
      <c r="AI42" s="11">
        <v>299</v>
      </c>
      <c r="AJ42" s="11">
        <v>152</v>
      </c>
      <c r="AM42" s="11">
        <v>350</v>
      </c>
      <c r="AN42" s="11">
        <v>151</v>
      </c>
      <c r="AO42" s="12">
        <f>0</f>
        <v>0</v>
      </c>
      <c r="AP42" s="12">
        <f>0</f>
        <v>0</v>
      </c>
      <c r="AQ42" s="12">
        <f>0</f>
        <v>0</v>
      </c>
      <c r="AR42" s="12">
        <f>0</f>
        <v>0</v>
      </c>
      <c r="AS42" s="12">
        <v>0</v>
      </c>
      <c r="AT42" s="12">
        <v>0</v>
      </c>
      <c r="AU42" s="12">
        <v>1</v>
      </c>
      <c r="AV42" s="12">
        <v>1</v>
      </c>
      <c r="AW42" s="12">
        <v>1</v>
      </c>
      <c r="AX42" s="12">
        <v>0</v>
      </c>
      <c r="AY42" s="12">
        <v>0</v>
      </c>
      <c r="AZ42" s="12">
        <v>0</v>
      </c>
      <c r="BA42" s="12">
        <v>0</v>
      </c>
      <c r="BB42" s="12">
        <v>0</v>
      </c>
      <c r="BC42" s="12">
        <v>0</v>
      </c>
      <c r="BD42" s="12">
        <v>0</v>
      </c>
      <c r="BE42" s="12">
        <v>0</v>
      </c>
      <c r="BF42" s="12">
        <v>0</v>
      </c>
      <c r="BG42" s="12">
        <v>0</v>
      </c>
      <c r="BH42" s="12">
        <v>0</v>
      </c>
      <c r="BI42" s="12">
        <v>1</v>
      </c>
      <c r="BJ42" s="12">
        <v>1</v>
      </c>
      <c r="BK42" s="12">
        <v>1</v>
      </c>
      <c r="BL42" s="12">
        <v>2133.0450000000001</v>
      </c>
      <c r="BM42" s="12">
        <v>1391.576</v>
      </c>
      <c r="BN42" s="12">
        <v>22.259519999999998</v>
      </c>
      <c r="BO42" s="12">
        <v>12.50595</v>
      </c>
      <c r="BP42" s="12">
        <v>0</v>
      </c>
      <c r="BQ42" s="12">
        <v>814</v>
      </c>
      <c r="BR42" s="12">
        <v>0</v>
      </c>
      <c r="BS42" s="12">
        <v>1</v>
      </c>
      <c r="BT42" s="12">
        <v>0</v>
      </c>
      <c r="BU42" s="12">
        <v>0</v>
      </c>
      <c r="BV42" s="12">
        <v>0</v>
      </c>
      <c r="BW42" s="12">
        <v>0</v>
      </c>
      <c r="BX42" s="12">
        <v>0</v>
      </c>
      <c r="BY42" s="12">
        <v>0</v>
      </c>
      <c r="BZ42" s="12">
        <v>0</v>
      </c>
      <c r="CA42" s="12">
        <v>0</v>
      </c>
      <c r="CB42" s="12">
        <v>0</v>
      </c>
      <c r="CC42" s="12">
        <v>0</v>
      </c>
      <c r="CD42" s="12">
        <v>0</v>
      </c>
      <c r="CE42" s="12">
        <v>0</v>
      </c>
      <c r="CF42" s="12">
        <v>0</v>
      </c>
      <c r="CG42" s="12">
        <v>0</v>
      </c>
      <c r="CH42" s="11">
        <v>0</v>
      </c>
      <c r="CI42" s="11">
        <v>0</v>
      </c>
      <c r="CJ42" s="11">
        <v>0</v>
      </c>
      <c r="CK42" s="11">
        <v>0</v>
      </c>
      <c r="CL42" s="11">
        <v>0</v>
      </c>
      <c r="CM42" s="11">
        <v>0</v>
      </c>
      <c r="CN42" s="11">
        <v>0</v>
      </c>
      <c r="CO42" s="29">
        <v>0</v>
      </c>
      <c r="CP42" s="29">
        <v>0</v>
      </c>
      <c r="CQ42" s="29">
        <v>0</v>
      </c>
      <c r="CR42" s="29">
        <v>0</v>
      </c>
      <c r="CS42" s="11">
        <v>1</v>
      </c>
      <c r="CT42" s="30">
        <v>19.333333333333332</v>
      </c>
      <c r="CU42" s="30">
        <v>51.666666666666664</v>
      </c>
      <c r="CV42" s="12">
        <v>0</v>
      </c>
      <c r="CW42" s="12">
        <v>0</v>
      </c>
      <c r="CX42" s="11">
        <v>0</v>
      </c>
      <c r="CY42" s="11">
        <v>0</v>
      </c>
      <c r="CZ42" s="11">
        <v>0</v>
      </c>
      <c r="DA42" s="11">
        <v>0</v>
      </c>
      <c r="DB42" s="11">
        <v>0</v>
      </c>
      <c r="DC42" s="11">
        <v>0</v>
      </c>
      <c r="DD42" s="11">
        <v>0</v>
      </c>
      <c r="DG42" s="11">
        <v>194.227</v>
      </c>
      <c r="DH42" s="11">
        <v>371.81</v>
      </c>
      <c r="DI42" s="12">
        <v>108787.11285758173</v>
      </c>
      <c r="DJ42" s="12">
        <v>67454</v>
      </c>
      <c r="DK42" s="12">
        <v>29468</v>
      </c>
      <c r="DL42" s="12">
        <v>167997</v>
      </c>
      <c r="DM42" s="12">
        <v>271770</v>
      </c>
      <c r="DN42" s="12">
        <v>429850</v>
      </c>
      <c r="DO42" s="12">
        <v>417926</v>
      </c>
      <c r="DP42" s="12">
        <v>506928</v>
      </c>
      <c r="DQ42" s="12">
        <v>756819</v>
      </c>
      <c r="DR42" s="12">
        <v>1407165</v>
      </c>
      <c r="DS42" s="12">
        <v>1573810</v>
      </c>
      <c r="DT42" s="12">
        <v>1702298</v>
      </c>
      <c r="DU42" s="12">
        <v>2174062</v>
      </c>
      <c r="DV42" s="12">
        <v>2676919</v>
      </c>
      <c r="DW42" s="12">
        <v>3129383</v>
      </c>
      <c r="DX42" s="12">
        <v>3307084</v>
      </c>
      <c r="DY42" s="12">
        <v>3618303</v>
      </c>
      <c r="DZ42" s="12">
        <v>4027947</v>
      </c>
      <c r="EA42" s="11">
        <v>176.83750000000001</v>
      </c>
      <c r="EB42" s="11">
        <v>434.875</v>
      </c>
      <c r="EE42" s="11">
        <f t="shared" si="1"/>
        <v>0</v>
      </c>
      <c r="EF42" s="11">
        <v>0</v>
      </c>
      <c r="EG42" s="11">
        <v>0</v>
      </c>
      <c r="EH42" s="11">
        <v>1</v>
      </c>
      <c r="EI42" s="11">
        <v>0</v>
      </c>
      <c r="EJ42" s="11">
        <v>0</v>
      </c>
      <c r="EK42" s="11">
        <v>1</v>
      </c>
      <c r="EL42" s="11">
        <v>0</v>
      </c>
      <c r="EM42" s="11">
        <v>0</v>
      </c>
      <c r="EN42" s="11">
        <v>0</v>
      </c>
      <c r="EO42" s="11">
        <v>0</v>
      </c>
      <c r="EP42" s="11">
        <v>0</v>
      </c>
      <c r="EQ42" s="11">
        <v>0.24911660777385158</v>
      </c>
      <c r="ER42" s="11">
        <v>0.34299987815279637</v>
      </c>
      <c r="ES42" s="11">
        <v>0.18599975630559279</v>
      </c>
      <c r="ET42" s="11">
        <v>9.5528207627634948E-2</v>
      </c>
      <c r="EU42" s="11">
        <v>76.361386138613867</v>
      </c>
      <c r="EV42" s="11">
        <v>2.5614647000000001</v>
      </c>
    </row>
    <row r="43" spans="1:152" x14ac:dyDescent="0.2">
      <c r="A43" s="11">
        <v>43</v>
      </c>
      <c r="B43" s="11">
        <v>41</v>
      </c>
      <c r="C43" s="13" t="s">
        <v>45</v>
      </c>
      <c r="D43" s="12">
        <v>2027</v>
      </c>
      <c r="E43" s="12">
        <v>3400.0268920856197</v>
      </c>
      <c r="F43" s="12">
        <v>3831.6629591180981</v>
      </c>
      <c r="G43" s="12">
        <v>3854</v>
      </c>
      <c r="H43" s="12">
        <v>4811</v>
      </c>
      <c r="I43" s="12">
        <v>5441</v>
      </c>
      <c r="J43" s="12">
        <v>5444</v>
      </c>
      <c r="K43" s="14">
        <v>5528</v>
      </c>
      <c r="L43" s="12">
        <v>5318.9961643835613</v>
      </c>
      <c r="M43" s="12">
        <v>4864.6399999999994</v>
      </c>
      <c r="N43" s="27">
        <v>0.02</v>
      </c>
      <c r="O43" s="11">
        <f t="shared" si="0"/>
        <v>0</v>
      </c>
      <c r="P43" s="11">
        <v>0</v>
      </c>
      <c r="Q43" s="11">
        <v>0</v>
      </c>
      <c r="R43" s="11">
        <v>0</v>
      </c>
      <c r="S43" s="11">
        <v>1</v>
      </c>
      <c r="T43" s="11">
        <v>0</v>
      </c>
      <c r="U43" s="11">
        <v>1</v>
      </c>
      <c r="V43" s="11">
        <v>1</v>
      </c>
      <c r="W43" s="11">
        <v>0</v>
      </c>
      <c r="X43" s="11">
        <v>26</v>
      </c>
      <c r="Y43" s="11">
        <v>0</v>
      </c>
      <c r="Z43" s="11">
        <v>0</v>
      </c>
      <c r="AA43" s="11">
        <v>312</v>
      </c>
      <c r="AB43" s="11">
        <v>392</v>
      </c>
      <c r="AC43" s="28"/>
      <c r="AD43" s="28"/>
      <c r="AE43" s="28">
        <f>5+45/60</f>
        <v>5.75</v>
      </c>
      <c r="AF43" s="28">
        <f>7+45/60</f>
        <v>7.75</v>
      </c>
      <c r="AI43" s="11">
        <v>205</v>
      </c>
      <c r="AJ43" s="11">
        <v>264</v>
      </c>
      <c r="AM43" s="11">
        <v>207</v>
      </c>
      <c r="AN43" s="11">
        <v>268</v>
      </c>
      <c r="AO43" s="12">
        <f>0</f>
        <v>0</v>
      </c>
      <c r="AP43" s="12">
        <f>0</f>
        <v>0</v>
      </c>
      <c r="AQ43" s="12">
        <f>0</f>
        <v>0</v>
      </c>
      <c r="AR43" s="12">
        <f>0</f>
        <v>0</v>
      </c>
      <c r="AS43" s="12">
        <v>0</v>
      </c>
      <c r="AT43" s="12">
        <v>0</v>
      </c>
      <c r="AU43" s="12">
        <v>0</v>
      </c>
      <c r="AV43" s="12">
        <v>0</v>
      </c>
      <c r="AW43" s="12">
        <v>0</v>
      </c>
      <c r="AX43" s="12">
        <v>0</v>
      </c>
      <c r="AY43" s="12">
        <v>0</v>
      </c>
      <c r="AZ43" s="12">
        <v>0</v>
      </c>
      <c r="BA43" s="12">
        <v>0</v>
      </c>
      <c r="BB43" s="12">
        <v>0</v>
      </c>
      <c r="BC43" s="12">
        <v>0</v>
      </c>
      <c r="BD43" s="12">
        <v>0</v>
      </c>
      <c r="BE43" s="12">
        <v>0</v>
      </c>
      <c r="BF43" s="12">
        <v>0</v>
      </c>
      <c r="BG43" s="12">
        <v>0</v>
      </c>
      <c r="BH43" s="12">
        <v>0</v>
      </c>
      <c r="BI43" s="12">
        <v>0</v>
      </c>
      <c r="BJ43" s="12">
        <v>0</v>
      </c>
      <c r="BK43" s="12">
        <v>0</v>
      </c>
      <c r="BL43" s="12">
        <v>1980.9380000000001</v>
      </c>
      <c r="BM43" s="12">
        <v>2038.8420000000001</v>
      </c>
      <c r="BN43" s="12">
        <v>20.28</v>
      </c>
      <c r="BO43" s="12">
        <v>11.600809999999999</v>
      </c>
      <c r="BP43" s="12">
        <v>196</v>
      </c>
      <c r="BQ43" s="12">
        <v>455</v>
      </c>
      <c r="BR43" s="12">
        <v>1</v>
      </c>
      <c r="BS43" s="12">
        <v>1</v>
      </c>
      <c r="BT43" s="12">
        <v>0</v>
      </c>
      <c r="BU43" s="12">
        <v>0</v>
      </c>
      <c r="BV43" s="12">
        <v>0</v>
      </c>
      <c r="BW43" s="12">
        <v>0</v>
      </c>
      <c r="BX43" s="12">
        <v>0</v>
      </c>
      <c r="BY43" s="12">
        <v>0</v>
      </c>
      <c r="BZ43" s="12">
        <v>0</v>
      </c>
      <c r="CA43" s="12">
        <v>0</v>
      </c>
      <c r="CB43" s="12">
        <v>0</v>
      </c>
      <c r="CC43" s="12">
        <v>0</v>
      </c>
      <c r="CD43" s="12">
        <v>0</v>
      </c>
      <c r="CE43" s="12">
        <v>0</v>
      </c>
      <c r="CF43" s="12">
        <v>0</v>
      </c>
      <c r="CG43" s="12">
        <v>0</v>
      </c>
      <c r="CH43" s="11">
        <v>0</v>
      </c>
      <c r="CI43" s="11">
        <v>0</v>
      </c>
      <c r="CJ43" s="11">
        <v>0</v>
      </c>
      <c r="CK43" s="11">
        <v>0</v>
      </c>
      <c r="CL43" s="11">
        <v>0</v>
      </c>
      <c r="CM43" s="11">
        <v>0</v>
      </c>
      <c r="CN43" s="11">
        <v>0</v>
      </c>
      <c r="CO43" s="29">
        <v>0</v>
      </c>
      <c r="CP43" s="29">
        <v>0</v>
      </c>
      <c r="CQ43" s="29">
        <v>0</v>
      </c>
      <c r="CR43" s="29">
        <v>0</v>
      </c>
      <c r="CS43" s="11">
        <v>1</v>
      </c>
      <c r="CT43" s="30">
        <v>42</v>
      </c>
      <c r="CU43" s="30">
        <v>60</v>
      </c>
      <c r="CV43" s="12">
        <v>0</v>
      </c>
      <c r="CW43" s="12">
        <v>0</v>
      </c>
      <c r="CX43" s="11">
        <v>0</v>
      </c>
      <c r="CY43" s="11">
        <v>0</v>
      </c>
      <c r="CZ43" s="11">
        <v>0</v>
      </c>
      <c r="DA43" s="11">
        <v>0</v>
      </c>
      <c r="DB43" s="11">
        <v>0</v>
      </c>
      <c r="DC43" s="11">
        <v>0</v>
      </c>
      <c r="DD43" s="11">
        <v>0</v>
      </c>
      <c r="DG43" s="11">
        <v>279.41500000000002</v>
      </c>
      <c r="DH43" s="11">
        <v>220.46899999999999</v>
      </c>
      <c r="DI43" s="12">
        <v>108787.11285758173</v>
      </c>
      <c r="DJ43" s="12">
        <v>67454</v>
      </c>
      <c r="DK43" s="12">
        <v>29468</v>
      </c>
      <c r="DL43" s="12">
        <v>167997</v>
      </c>
      <c r="DM43" s="12">
        <v>271770</v>
      </c>
      <c r="DN43" s="12">
        <v>429850</v>
      </c>
      <c r="DO43" s="12">
        <v>417926</v>
      </c>
      <c r="DP43" s="12">
        <v>506928</v>
      </c>
      <c r="DQ43" s="12">
        <v>756819</v>
      </c>
      <c r="DR43" s="12">
        <v>1407165</v>
      </c>
      <c r="DS43" s="12">
        <v>1573810</v>
      </c>
      <c r="DT43" s="12">
        <v>1702298</v>
      </c>
      <c r="DU43" s="12">
        <v>2174062</v>
      </c>
      <c r="DV43" s="12">
        <v>2676919</v>
      </c>
      <c r="DW43" s="12">
        <v>3129383</v>
      </c>
      <c r="DX43" s="12">
        <v>3307084</v>
      </c>
      <c r="DY43" s="12">
        <v>3618303</v>
      </c>
      <c r="DZ43" s="12">
        <v>4027947</v>
      </c>
      <c r="EA43" s="11">
        <v>412.63749999999999</v>
      </c>
      <c r="EB43" s="11">
        <v>222.5</v>
      </c>
      <c r="EE43" s="11">
        <f t="shared" si="1"/>
        <v>0</v>
      </c>
      <c r="EF43" s="11">
        <v>1</v>
      </c>
      <c r="EG43" s="11">
        <v>0</v>
      </c>
      <c r="EH43" s="11">
        <v>0</v>
      </c>
      <c r="EI43" s="11">
        <v>0</v>
      </c>
      <c r="EJ43" s="11">
        <v>0</v>
      </c>
      <c r="EK43" s="11">
        <v>0</v>
      </c>
      <c r="EL43" s="11">
        <v>1</v>
      </c>
      <c r="EM43" s="11">
        <v>0</v>
      </c>
      <c r="EN43" s="11">
        <v>0</v>
      </c>
      <c r="EO43" s="11">
        <v>0</v>
      </c>
      <c r="EP43" s="11">
        <v>0</v>
      </c>
      <c r="EQ43" s="11">
        <v>0.32588699080157685</v>
      </c>
      <c r="ER43" s="11">
        <v>0.34034165571616293</v>
      </c>
      <c r="ES43" s="11">
        <v>0.17038983793254489</v>
      </c>
      <c r="ET43" s="11">
        <v>5.3000438020148928E-2</v>
      </c>
      <c r="EU43" s="11">
        <v>14.962606837606836</v>
      </c>
      <c r="EV43" s="11">
        <v>2.0219483</v>
      </c>
    </row>
    <row r="44" spans="1:152" x14ac:dyDescent="0.2">
      <c r="A44" s="11">
        <v>37</v>
      </c>
      <c r="B44" s="11">
        <v>42</v>
      </c>
      <c r="C44" s="13" t="s">
        <v>36</v>
      </c>
      <c r="D44" s="12">
        <v>0</v>
      </c>
      <c r="E44" s="12">
        <v>2333.6919274309162</v>
      </c>
      <c r="F44" s="12">
        <v>2693.8988580750411</v>
      </c>
      <c r="G44" s="12">
        <v>2706</v>
      </c>
      <c r="H44" s="12">
        <v>3344</v>
      </c>
      <c r="I44" s="12">
        <v>5864</v>
      </c>
      <c r="J44" s="12">
        <v>6479</v>
      </c>
      <c r="K44" s="14">
        <v>6387</v>
      </c>
      <c r="L44" s="14">
        <v>5613.1053412462907</v>
      </c>
      <c r="M44" s="12">
        <v>4573.8753709198809</v>
      </c>
      <c r="N44" s="27">
        <v>0.02</v>
      </c>
      <c r="O44" s="11">
        <f t="shared" si="0"/>
        <v>1</v>
      </c>
      <c r="P44" s="11">
        <v>0</v>
      </c>
      <c r="Q44" s="11">
        <v>0</v>
      </c>
      <c r="R44" s="11">
        <v>0</v>
      </c>
      <c r="S44" s="11">
        <v>0</v>
      </c>
      <c r="T44" s="11">
        <v>0</v>
      </c>
      <c r="U44" s="11">
        <v>1</v>
      </c>
      <c r="V44" s="11">
        <v>0</v>
      </c>
      <c r="W44" s="11">
        <v>0</v>
      </c>
      <c r="X44" s="11">
        <v>103</v>
      </c>
      <c r="Y44" s="11">
        <v>0</v>
      </c>
      <c r="Z44" s="11">
        <v>0</v>
      </c>
      <c r="AA44" s="11">
        <v>356</v>
      </c>
      <c r="AB44" s="11">
        <v>284</v>
      </c>
      <c r="AC44" s="28"/>
      <c r="AD44" s="28"/>
      <c r="AE44" s="28">
        <f>6+35/60</f>
        <v>6.583333333333333</v>
      </c>
      <c r="AF44" s="28">
        <f>5+20/60</f>
        <v>5.333333333333333</v>
      </c>
      <c r="AI44" s="11">
        <v>237</v>
      </c>
      <c r="AJ44" s="11">
        <v>186</v>
      </c>
      <c r="AM44" s="11">
        <v>248</v>
      </c>
      <c r="AN44" s="11">
        <v>185</v>
      </c>
      <c r="AO44" s="12">
        <f>0</f>
        <v>0</v>
      </c>
      <c r="AP44" s="12">
        <f>0</f>
        <v>0</v>
      </c>
      <c r="AQ44" s="12">
        <f>0</f>
        <v>0</v>
      </c>
      <c r="AR44" s="12">
        <f>0</f>
        <v>0</v>
      </c>
      <c r="AS44" s="12">
        <v>0</v>
      </c>
      <c r="AT44" s="12">
        <v>0</v>
      </c>
      <c r="AU44" s="12">
        <v>0</v>
      </c>
      <c r="AV44" s="12">
        <v>0</v>
      </c>
      <c r="AW44" s="12">
        <v>0</v>
      </c>
      <c r="AX44" s="12">
        <v>0</v>
      </c>
      <c r="AY44" s="12">
        <v>0</v>
      </c>
      <c r="AZ44" s="12">
        <v>0</v>
      </c>
      <c r="BA44" s="12">
        <v>0</v>
      </c>
      <c r="BB44" s="12">
        <v>0</v>
      </c>
      <c r="BC44" s="12">
        <v>0</v>
      </c>
      <c r="BD44" s="12">
        <v>0</v>
      </c>
      <c r="BE44" s="12">
        <v>0</v>
      </c>
      <c r="BF44" s="12">
        <v>0</v>
      </c>
      <c r="BG44" s="12">
        <v>0</v>
      </c>
      <c r="BH44" s="12">
        <v>0</v>
      </c>
      <c r="BI44" s="12">
        <v>0</v>
      </c>
      <c r="BJ44" s="12">
        <v>0</v>
      </c>
      <c r="BK44" s="12">
        <v>0</v>
      </c>
      <c r="BL44" s="12">
        <v>1663.42</v>
      </c>
      <c r="BM44" s="12">
        <v>1467.9639999999999</v>
      </c>
      <c r="BN44" s="12">
        <v>23.85051</v>
      </c>
      <c r="BO44" s="12">
        <v>13.116160000000001</v>
      </c>
      <c r="BP44" s="12">
        <v>136</v>
      </c>
      <c r="BQ44" s="12">
        <v>337</v>
      </c>
      <c r="BR44" s="12">
        <v>1</v>
      </c>
      <c r="BS44" s="12">
        <v>1</v>
      </c>
      <c r="BT44" s="12">
        <v>0</v>
      </c>
      <c r="BU44" s="12">
        <v>0</v>
      </c>
      <c r="BV44" s="12">
        <v>0</v>
      </c>
      <c r="BW44" s="12">
        <v>0</v>
      </c>
      <c r="BX44" s="12">
        <v>0</v>
      </c>
      <c r="BY44" s="12">
        <v>0</v>
      </c>
      <c r="BZ44" s="12">
        <v>0</v>
      </c>
      <c r="CA44" s="12">
        <v>0</v>
      </c>
      <c r="CB44" s="12">
        <v>0</v>
      </c>
      <c r="CC44" s="12">
        <v>0</v>
      </c>
      <c r="CD44" s="12">
        <v>0</v>
      </c>
      <c r="CE44" s="12">
        <v>0</v>
      </c>
      <c r="CF44" s="12">
        <v>0</v>
      </c>
      <c r="CG44" s="12">
        <v>0</v>
      </c>
      <c r="CH44" s="11">
        <v>0</v>
      </c>
      <c r="CI44" s="11">
        <v>0</v>
      </c>
      <c r="CJ44" s="11">
        <v>0</v>
      </c>
      <c r="CK44" s="11">
        <v>0</v>
      </c>
      <c r="CL44" s="11">
        <v>0</v>
      </c>
      <c r="CM44" s="11">
        <v>0</v>
      </c>
      <c r="CN44" s="11">
        <v>0</v>
      </c>
      <c r="CO44" s="29">
        <v>0</v>
      </c>
      <c r="CP44" s="29">
        <v>0</v>
      </c>
      <c r="CQ44" s="29">
        <v>0</v>
      </c>
      <c r="CR44" s="29">
        <v>0</v>
      </c>
      <c r="CS44" s="11">
        <v>1</v>
      </c>
      <c r="CT44" s="30">
        <v>55.666666666666664</v>
      </c>
      <c r="CU44" s="30">
        <v>44.666666666666664</v>
      </c>
      <c r="CV44" s="12">
        <v>0</v>
      </c>
      <c r="CW44" s="12">
        <v>0</v>
      </c>
      <c r="CX44" s="11">
        <v>0</v>
      </c>
      <c r="CY44" s="11">
        <v>0</v>
      </c>
      <c r="CZ44" s="11">
        <v>0</v>
      </c>
      <c r="DA44" s="11">
        <v>0</v>
      </c>
      <c r="DB44" s="11">
        <v>0</v>
      </c>
      <c r="DC44" s="11">
        <v>0</v>
      </c>
      <c r="DD44" s="11">
        <v>0</v>
      </c>
      <c r="DG44" s="11">
        <v>230.04900000000001</v>
      </c>
      <c r="DH44" s="11">
        <v>270.02300000000002</v>
      </c>
      <c r="DI44" s="12">
        <v>108787.11285758173</v>
      </c>
      <c r="DJ44" s="12">
        <v>67454</v>
      </c>
      <c r="DK44" s="12">
        <v>29468</v>
      </c>
      <c r="DL44" s="12">
        <v>167997</v>
      </c>
      <c r="DM44" s="12">
        <v>271770</v>
      </c>
      <c r="DN44" s="12">
        <v>429850</v>
      </c>
      <c r="DO44" s="12">
        <v>417926</v>
      </c>
      <c r="DP44" s="12">
        <v>506928</v>
      </c>
      <c r="DQ44" s="12">
        <v>756819</v>
      </c>
      <c r="DR44" s="12">
        <v>1407165</v>
      </c>
      <c r="DS44" s="12">
        <v>1573810</v>
      </c>
      <c r="DT44" s="12">
        <v>1702298</v>
      </c>
      <c r="DU44" s="12">
        <v>2174062</v>
      </c>
      <c r="DV44" s="12">
        <v>2676919</v>
      </c>
      <c r="DW44" s="12">
        <v>3129383</v>
      </c>
      <c r="DX44" s="12">
        <v>3307084</v>
      </c>
      <c r="DY44" s="12">
        <v>3618303</v>
      </c>
      <c r="DZ44" s="12">
        <v>4027947</v>
      </c>
      <c r="EA44" s="11">
        <v>173.95</v>
      </c>
      <c r="EB44" s="11">
        <v>254.76249999999999</v>
      </c>
      <c r="EE44" s="11">
        <f t="shared" si="1"/>
        <v>0</v>
      </c>
      <c r="EF44" s="11">
        <v>0</v>
      </c>
      <c r="EG44" s="11">
        <v>0</v>
      </c>
      <c r="EH44" s="11">
        <v>0</v>
      </c>
      <c r="EI44" s="11">
        <v>1</v>
      </c>
      <c r="EJ44" s="11">
        <v>0</v>
      </c>
      <c r="EK44" s="11">
        <v>1</v>
      </c>
      <c r="EL44" s="11">
        <v>0</v>
      </c>
      <c r="EM44" s="11">
        <v>0</v>
      </c>
      <c r="EN44" s="11">
        <v>0</v>
      </c>
      <c r="EO44" s="11">
        <v>0</v>
      </c>
      <c r="EP44" s="11">
        <v>0</v>
      </c>
      <c r="EQ44" s="11">
        <v>0.30433500442347389</v>
      </c>
      <c r="ER44" s="11">
        <v>0.32055440872898849</v>
      </c>
      <c r="ES44" s="11">
        <v>0.16484812739604837</v>
      </c>
      <c r="ET44" s="11">
        <v>5.8389855499852553E-2</v>
      </c>
      <c r="EU44" s="11">
        <v>47.159343098091433</v>
      </c>
      <c r="EV44" s="11">
        <v>1.8976999000000001</v>
      </c>
    </row>
    <row r="45" spans="1:152" x14ac:dyDescent="0.2">
      <c r="A45" s="11">
        <v>7</v>
      </c>
      <c r="B45" s="11">
        <v>43</v>
      </c>
      <c r="C45" s="11" t="s">
        <v>6</v>
      </c>
      <c r="D45" s="12">
        <v>0</v>
      </c>
      <c r="E45" s="12"/>
      <c r="F45" s="12"/>
      <c r="G45" s="12"/>
      <c r="H45" s="12">
        <v>3133.4871794871792</v>
      </c>
      <c r="I45" s="12">
        <v>8041.0406350406347</v>
      </c>
      <c r="J45" s="12">
        <v>14185.931077931076</v>
      </c>
      <c r="K45" s="14">
        <v>17458</v>
      </c>
      <c r="L45" s="14">
        <v>21044</v>
      </c>
      <c r="M45" s="12">
        <v>21291</v>
      </c>
      <c r="N45" s="27">
        <v>1.7000000000000001E-2</v>
      </c>
      <c r="O45" s="11">
        <f t="shared" si="0"/>
        <v>1</v>
      </c>
      <c r="P45" s="11">
        <v>0</v>
      </c>
      <c r="Q45" s="11">
        <v>1</v>
      </c>
      <c r="R45" s="11">
        <v>0</v>
      </c>
      <c r="S45" s="11">
        <v>0</v>
      </c>
      <c r="T45" s="11">
        <v>0</v>
      </c>
      <c r="U45" s="11">
        <v>1</v>
      </c>
      <c r="V45" s="11">
        <v>0</v>
      </c>
      <c r="W45" s="11">
        <v>0</v>
      </c>
      <c r="X45" s="11">
        <v>98</v>
      </c>
      <c r="AC45" s="28"/>
      <c r="AD45" s="28"/>
      <c r="AE45" s="28">
        <f>6+45/60</f>
        <v>6.75</v>
      </c>
      <c r="AF45" s="28">
        <f>4+55/60</f>
        <v>4.916666666666667</v>
      </c>
      <c r="AI45" s="11">
        <v>244</v>
      </c>
      <c r="AJ45" s="11">
        <v>182</v>
      </c>
      <c r="AM45" s="11">
        <v>292</v>
      </c>
      <c r="AN45" s="11">
        <v>209</v>
      </c>
      <c r="AO45" s="12">
        <f>0</f>
        <v>0</v>
      </c>
      <c r="AP45" s="12">
        <f>0</f>
        <v>0</v>
      </c>
      <c r="AQ45" s="12">
        <f>0</f>
        <v>0</v>
      </c>
      <c r="AR45" s="12">
        <f>0</f>
        <v>0</v>
      </c>
      <c r="AS45" s="12">
        <v>0</v>
      </c>
      <c r="AT45" s="12">
        <v>0</v>
      </c>
      <c r="AU45" s="12">
        <v>0</v>
      </c>
      <c r="AV45" s="12">
        <v>0</v>
      </c>
      <c r="AW45" s="12">
        <v>0</v>
      </c>
      <c r="AX45" s="12">
        <v>0</v>
      </c>
      <c r="AY45" s="12">
        <v>0</v>
      </c>
      <c r="AZ45" s="12">
        <v>0</v>
      </c>
      <c r="BA45" s="12">
        <v>0</v>
      </c>
      <c r="BB45" s="12">
        <v>0</v>
      </c>
      <c r="BC45" s="12">
        <v>0</v>
      </c>
      <c r="BD45" s="12">
        <v>0</v>
      </c>
      <c r="BE45" s="12">
        <v>0</v>
      </c>
      <c r="BF45" s="12">
        <v>0</v>
      </c>
      <c r="BG45" s="12">
        <v>0</v>
      </c>
      <c r="BH45" s="12">
        <v>0</v>
      </c>
      <c r="BI45" s="12">
        <v>0</v>
      </c>
      <c r="BJ45" s="12">
        <v>1</v>
      </c>
      <c r="BK45" s="12">
        <v>1</v>
      </c>
      <c r="BL45" s="12">
        <v>2003.31</v>
      </c>
      <c r="BM45" s="12">
        <v>1147.348</v>
      </c>
      <c r="BN45" s="12">
        <v>22.68657</v>
      </c>
      <c r="BO45" s="12">
        <v>11.64504</v>
      </c>
      <c r="BP45" s="12">
        <v>0</v>
      </c>
      <c r="BQ45" s="12">
        <v>0</v>
      </c>
      <c r="BR45" s="12">
        <v>0</v>
      </c>
      <c r="BS45" s="12">
        <v>0</v>
      </c>
      <c r="BT45" s="12">
        <v>0</v>
      </c>
      <c r="BU45" s="12">
        <v>0</v>
      </c>
      <c r="BV45" s="12">
        <v>0</v>
      </c>
      <c r="BW45" s="12">
        <v>0</v>
      </c>
      <c r="BX45" s="12">
        <v>0</v>
      </c>
      <c r="BY45" s="12">
        <v>0</v>
      </c>
      <c r="BZ45" s="12">
        <v>0</v>
      </c>
      <c r="CA45" s="12">
        <v>0</v>
      </c>
      <c r="CB45" s="12">
        <v>0</v>
      </c>
      <c r="CC45" s="12">
        <v>0</v>
      </c>
      <c r="CD45" s="12">
        <v>0</v>
      </c>
      <c r="CE45" s="12">
        <v>0</v>
      </c>
      <c r="CF45" s="12">
        <v>0</v>
      </c>
      <c r="CG45" s="12">
        <v>0</v>
      </c>
      <c r="CH45" s="11">
        <v>0</v>
      </c>
      <c r="CI45" s="11">
        <v>0</v>
      </c>
      <c r="CJ45" s="11">
        <v>0</v>
      </c>
      <c r="CK45" s="11">
        <v>0</v>
      </c>
      <c r="CL45" s="11">
        <v>0</v>
      </c>
      <c r="CM45" s="11">
        <v>0</v>
      </c>
      <c r="CN45" s="11">
        <v>0</v>
      </c>
      <c r="CO45" s="29">
        <v>0</v>
      </c>
      <c r="CP45" s="29">
        <v>0</v>
      </c>
      <c r="CQ45" s="29">
        <v>0</v>
      </c>
      <c r="CR45" s="29">
        <v>0</v>
      </c>
      <c r="CS45" s="11">
        <v>0</v>
      </c>
      <c r="CT45" s="30">
        <v>24</v>
      </c>
      <c r="CU45" s="30">
        <v>58</v>
      </c>
      <c r="CV45" s="12">
        <v>0</v>
      </c>
      <c r="CW45" s="12">
        <v>0</v>
      </c>
      <c r="CX45" s="11">
        <v>0</v>
      </c>
      <c r="CY45" s="11">
        <v>0</v>
      </c>
      <c r="CZ45" s="11">
        <v>0</v>
      </c>
      <c r="DA45" s="11">
        <v>0</v>
      </c>
      <c r="DB45" s="11">
        <v>0</v>
      </c>
      <c r="DC45" s="11">
        <v>0</v>
      </c>
      <c r="DD45" s="11">
        <v>0</v>
      </c>
      <c r="DG45" s="11">
        <v>234.17599999999999</v>
      </c>
      <c r="DH45" s="11">
        <v>309.19</v>
      </c>
      <c r="DI45" s="12">
        <v>108787.11285758173</v>
      </c>
      <c r="DJ45" s="12">
        <v>67454</v>
      </c>
      <c r="DK45" s="12">
        <v>29468</v>
      </c>
      <c r="DL45" s="12">
        <v>167997</v>
      </c>
      <c r="DM45" s="12">
        <v>271770</v>
      </c>
      <c r="DN45" s="12">
        <v>429850</v>
      </c>
      <c r="DO45" s="12">
        <v>417926</v>
      </c>
      <c r="DP45" s="12">
        <v>506928</v>
      </c>
      <c r="DQ45" s="12">
        <v>756819</v>
      </c>
      <c r="DR45" s="12">
        <v>1407165</v>
      </c>
      <c r="DS45" s="12">
        <v>1573810</v>
      </c>
      <c r="DT45" s="12">
        <v>1702298</v>
      </c>
      <c r="DU45" s="12">
        <v>2174062</v>
      </c>
      <c r="DV45" s="12">
        <v>2676919</v>
      </c>
      <c r="DW45" s="12">
        <v>3129383</v>
      </c>
      <c r="DX45" s="12">
        <v>3307084</v>
      </c>
      <c r="DY45" s="12">
        <v>3618303</v>
      </c>
      <c r="DZ45" s="12">
        <v>4027947</v>
      </c>
      <c r="EE45" s="11">
        <f t="shared" si="1"/>
        <v>1</v>
      </c>
      <c r="EF45" s="11">
        <v>0</v>
      </c>
      <c r="EG45" s="11">
        <v>0</v>
      </c>
      <c r="EH45" s="11">
        <v>1</v>
      </c>
      <c r="EI45" s="11">
        <v>0</v>
      </c>
      <c r="EJ45" s="11">
        <v>0</v>
      </c>
      <c r="EK45" s="11">
        <v>1</v>
      </c>
      <c r="EL45" s="11">
        <v>0</v>
      </c>
      <c r="EM45" s="11">
        <v>0</v>
      </c>
      <c r="EN45" s="11">
        <v>0</v>
      </c>
      <c r="EO45" s="11">
        <v>0</v>
      </c>
      <c r="EP45" s="11">
        <v>0</v>
      </c>
      <c r="EQ45" s="11">
        <v>0.25092207019631174</v>
      </c>
      <c r="ER45" s="11">
        <v>0.34455681142177275</v>
      </c>
      <c r="ES45" s="11">
        <v>0.19690660321237358</v>
      </c>
      <c r="ET45" s="11">
        <v>8.0190362879238544E-2</v>
      </c>
      <c r="EV45" s="11">
        <v>2.0289348</v>
      </c>
    </row>
    <row r="46" spans="1:152" x14ac:dyDescent="0.2">
      <c r="A46" s="11">
        <v>5</v>
      </c>
      <c r="B46" s="11">
        <v>44</v>
      </c>
      <c r="C46" s="11" t="s">
        <v>4</v>
      </c>
      <c r="D46" s="12">
        <v>945</v>
      </c>
      <c r="E46" s="12">
        <v>2684.5126354238005</v>
      </c>
      <c r="F46" s="12">
        <v>3616.7240637153586</v>
      </c>
      <c r="G46" s="12">
        <v>4944.686464204593</v>
      </c>
      <c r="H46" s="12">
        <v>10044.681416673677</v>
      </c>
      <c r="I46" s="12">
        <v>33166.757297888449</v>
      </c>
      <c r="J46" s="12">
        <v>50530.875914864977</v>
      </c>
      <c r="K46" s="17">
        <v>62370</v>
      </c>
      <c r="L46" s="12">
        <v>82832</v>
      </c>
      <c r="M46" s="12">
        <v>108882</v>
      </c>
      <c r="N46" s="27">
        <v>1.7000000000000001E-2</v>
      </c>
      <c r="O46" s="11">
        <f t="shared" si="0"/>
        <v>0</v>
      </c>
      <c r="P46" s="11">
        <v>0</v>
      </c>
      <c r="Q46" s="11">
        <v>1</v>
      </c>
      <c r="R46" s="11">
        <v>0</v>
      </c>
      <c r="S46" s="11">
        <v>0</v>
      </c>
      <c r="T46" s="11">
        <v>1</v>
      </c>
      <c r="U46" s="11">
        <v>1</v>
      </c>
      <c r="V46" s="11">
        <v>1</v>
      </c>
      <c r="W46" s="11">
        <v>1</v>
      </c>
      <c r="X46" s="11">
        <v>0</v>
      </c>
      <c r="Y46" s="11">
        <v>0</v>
      </c>
      <c r="Z46" s="11">
        <v>0</v>
      </c>
      <c r="AA46" s="11">
        <v>526</v>
      </c>
      <c r="AB46" s="11">
        <v>201</v>
      </c>
      <c r="AC46" s="28"/>
      <c r="AD46" s="28"/>
      <c r="AE46" s="28">
        <f>9+50/60</f>
        <v>9.8333333333333339</v>
      </c>
      <c r="AF46" s="28">
        <f>3+50/60</f>
        <v>3.8333333333333335</v>
      </c>
      <c r="AI46" s="11">
        <v>339</v>
      </c>
      <c r="AJ46" s="11">
        <v>137</v>
      </c>
      <c r="AM46" s="11">
        <v>390</v>
      </c>
      <c r="AN46" s="11">
        <v>144</v>
      </c>
      <c r="AO46" s="12">
        <f>0</f>
        <v>0</v>
      </c>
      <c r="AP46" s="12">
        <f>0</f>
        <v>0</v>
      </c>
      <c r="AQ46" s="12">
        <f>0</f>
        <v>0</v>
      </c>
      <c r="AR46" s="12">
        <f>0</f>
        <v>0</v>
      </c>
      <c r="AS46" s="12">
        <v>0</v>
      </c>
      <c r="AT46" s="12">
        <v>0</v>
      </c>
      <c r="AU46" s="17">
        <v>1</v>
      </c>
      <c r="AV46" s="17">
        <v>1</v>
      </c>
      <c r="AW46" s="17">
        <v>1</v>
      </c>
      <c r="AX46" s="12">
        <v>0</v>
      </c>
      <c r="AY46" s="12">
        <v>0</v>
      </c>
      <c r="AZ46" s="12">
        <v>0</v>
      </c>
      <c r="BA46" s="12">
        <v>0</v>
      </c>
      <c r="BB46" s="12">
        <v>0</v>
      </c>
      <c r="BC46" s="12">
        <v>0</v>
      </c>
      <c r="BD46" s="12">
        <v>0</v>
      </c>
      <c r="BE46" s="12">
        <v>0</v>
      </c>
      <c r="BF46" s="12">
        <v>0</v>
      </c>
      <c r="BG46" s="12">
        <v>0</v>
      </c>
      <c r="BH46" s="12">
        <v>0</v>
      </c>
      <c r="BI46" s="12">
        <v>1</v>
      </c>
      <c r="BJ46" s="12">
        <v>1</v>
      </c>
      <c r="BK46" s="12">
        <v>1</v>
      </c>
      <c r="BL46" s="12">
        <v>2299.5050000000001</v>
      </c>
      <c r="BM46" s="12">
        <v>1424.2</v>
      </c>
      <c r="BN46" s="12">
        <v>22.88767</v>
      </c>
      <c r="BO46" s="12">
        <v>14.626390000000001</v>
      </c>
      <c r="BP46" s="12">
        <v>0</v>
      </c>
      <c r="BQ46" s="12">
        <v>239</v>
      </c>
      <c r="BR46" s="12">
        <v>0</v>
      </c>
      <c r="BS46" s="12">
        <v>1</v>
      </c>
      <c r="BT46" s="12">
        <v>75552</v>
      </c>
      <c r="BU46" s="12">
        <v>110814</v>
      </c>
      <c r="BV46" s="12">
        <v>295</v>
      </c>
      <c r="BW46" s="12">
        <v>114614</v>
      </c>
      <c r="BX46" s="12">
        <v>250</v>
      </c>
      <c r="BY46" s="12">
        <v>25486</v>
      </c>
      <c r="BZ46" s="12">
        <v>99</v>
      </c>
      <c r="CA46" s="12">
        <v>11881</v>
      </c>
      <c r="CB46" s="12">
        <v>204</v>
      </c>
      <c r="CC46" s="12">
        <v>125306</v>
      </c>
      <c r="CD46" s="12">
        <v>371</v>
      </c>
      <c r="CE46" s="12">
        <v>1037033</v>
      </c>
      <c r="CF46" s="12">
        <v>469</v>
      </c>
      <c r="CG46" s="12">
        <v>2178000</v>
      </c>
      <c r="CH46" s="11">
        <v>1</v>
      </c>
      <c r="CI46" s="11">
        <v>1</v>
      </c>
      <c r="CJ46" s="11">
        <v>1</v>
      </c>
      <c r="CK46" s="11">
        <v>1</v>
      </c>
      <c r="CL46" s="11">
        <v>1</v>
      </c>
      <c r="CM46" s="11">
        <v>1</v>
      </c>
      <c r="CN46" s="11">
        <v>1</v>
      </c>
      <c r="CO46" s="29">
        <v>1</v>
      </c>
      <c r="CP46" s="29">
        <v>1</v>
      </c>
      <c r="CQ46" s="29">
        <v>1</v>
      </c>
      <c r="CR46" s="29">
        <v>1</v>
      </c>
      <c r="CS46" s="11">
        <v>1</v>
      </c>
      <c r="CT46" s="30">
        <v>15</v>
      </c>
      <c r="CU46" s="30">
        <v>22.666666666666668</v>
      </c>
      <c r="CV46" s="12">
        <v>0</v>
      </c>
      <c r="CW46" s="12">
        <v>0</v>
      </c>
      <c r="CX46" s="11">
        <v>0</v>
      </c>
      <c r="CY46" s="11">
        <v>0</v>
      </c>
      <c r="CZ46" s="11">
        <v>0</v>
      </c>
      <c r="DA46" s="11">
        <v>0</v>
      </c>
      <c r="DB46" s="11">
        <v>0</v>
      </c>
      <c r="DC46" s="11">
        <v>0</v>
      </c>
      <c r="DD46" s="11">
        <v>0</v>
      </c>
      <c r="DG46" s="11">
        <v>155.357</v>
      </c>
      <c r="DH46" s="11">
        <v>417.00799999999998</v>
      </c>
      <c r="DI46" s="12">
        <v>108787.11285758173</v>
      </c>
      <c r="DJ46" s="12">
        <v>67454</v>
      </c>
      <c r="DK46" s="12">
        <v>29468</v>
      </c>
      <c r="DL46" s="12">
        <v>167997</v>
      </c>
      <c r="DM46" s="12">
        <v>271770</v>
      </c>
      <c r="DN46" s="12">
        <v>429850</v>
      </c>
      <c r="DO46" s="12">
        <v>417926</v>
      </c>
      <c r="DP46" s="12">
        <v>506928</v>
      </c>
      <c r="DQ46" s="12">
        <v>756819</v>
      </c>
      <c r="DR46" s="12">
        <v>1407165</v>
      </c>
      <c r="DS46" s="12">
        <v>1573810</v>
      </c>
      <c r="DT46" s="12">
        <v>1702298</v>
      </c>
      <c r="DU46" s="12">
        <v>2174062</v>
      </c>
      <c r="DV46" s="12">
        <v>2676919</v>
      </c>
      <c r="DW46" s="12">
        <v>3129383</v>
      </c>
      <c r="DX46" s="12">
        <v>3307084</v>
      </c>
      <c r="DY46" s="12">
        <v>3618303</v>
      </c>
      <c r="DZ46" s="12">
        <v>4027947</v>
      </c>
      <c r="EA46" s="29"/>
      <c r="EE46" s="11">
        <f t="shared" si="1"/>
        <v>1</v>
      </c>
      <c r="EF46" s="11">
        <v>0</v>
      </c>
      <c r="EG46" s="11">
        <v>0</v>
      </c>
      <c r="EH46" s="11">
        <v>1</v>
      </c>
      <c r="EI46" s="11">
        <v>0</v>
      </c>
      <c r="EJ46" s="11">
        <v>0</v>
      </c>
      <c r="EK46" s="11">
        <v>1</v>
      </c>
      <c r="EL46" s="11">
        <v>0</v>
      </c>
      <c r="EM46" s="11">
        <v>0</v>
      </c>
      <c r="EN46" s="11">
        <v>0</v>
      </c>
      <c r="EO46" s="11">
        <v>0</v>
      </c>
      <c r="EP46" s="11">
        <v>0</v>
      </c>
      <c r="EQ46" s="11">
        <v>0.23937842778793419</v>
      </c>
      <c r="ER46" s="11">
        <v>0.35327239488117002</v>
      </c>
      <c r="ES46" s="11">
        <v>0.20753199268738573</v>
      </c>
      <c r="ET46" s="11">
        <v>0.10171846435100548</v>
      </c>
      <c r="EU46" s="11">
        <v>28.184581376070739</v>
      </c>
      <c r="EV46" s="11">
        <v>4.3022311000000002</v>
      </c>
    </row>
    <row r="47" spans="1:152" x14ac:dyDescent="0.2">
      <c r="A47" s="11">
        <v>50</v>
      </c>
      <c r="B47" s="11">
        <v>45</v>
      </c>
      <c r="C47" s="13" t="s">
        <v>52</v>
      </c>
      <c r="D47" s="12">
        <v>888</v>
      </c>
      <c r="E47" s="12">
        <v>2313.9670071304686</v>
      </c>
      <c r="F47" s="12">
        <v>2407.583966082097</v>
      </c>
      <c r="G47" s="14">
        <v>2426</v>
      </c>
      <c r="H47" s="14">
        <v>2854</v>
      </c>
      <c r="I47" s="14">
        <v>3212</v>
      </c>
      <c r="J47" s="14">
        <v>3202</v>
      </c>
      <c r="K47" s="14">
        <v>3510</v>
      </c>
      <c r="L47" s="12">
        <v>3471.8478260869565</v>
      </c>
      <c r="M47" s="12">
        <v>3372.0652173913045</v>
      </c>
      <c r="N47" s="27">
        <v>1.7000000000000001E-2</v>
      </c>
      <c r="O47" s="11">
        <f t="shared" si="0"/>
        <v>0</v>
      </c>
      <c r="P47" s="11">
        <v>0</v>
      </c>
      <c r="Q47" s="11">
        <v>1</v>
      </c>
      <c r="R47" s="11">
        <v>0</v>
      </c>
      <c r="S47" s="11">
        <v>1</v>
      </c>
      <c r="T47" s="11">
        <v>0</v>
      </c>
      <c r="U47" s="11">
        <v>1</v>
      </c>
      <c r="V47" s="11">
        <v>1</v>
      </c>
      <c r="W47" s="11">
        <v>0</v>
      </c>
      <c r="X47" s="11">
        <v>59</v>
      </c>
      <c r="Y47" s="11">
        <v>0</v>
      </c>
      <c r="Z47" s="11">
        <v>0</v>
      </c>
      <c r="AA47" s="11">
        <v>534</v>
      </c>
      <c r="AB47" s="11">
        <v>143</v>
      </c>
      <c r="AC47" s="28"/>
      <c r="AD47" s="28"/>
      <c r="AE47" s="28">
        <f>9+30/60</f>
        <v>9.5</v>
      </c>
      <c r="AF47" s="28">
        <f>2+30/60</f>
        <v>2.5</v>
      </c>
      <c r="AI47" s="11">
        <v>345</v>
      </c>
      <c r="AJ47" s="11">
        <v>100</v>
      </c>
      <c r="AM47" s="11">
        <v>385</v>
      </c>
      <c r="AN47" s="11">
        <v>103</v>
      </c>
      <c r="AO47" s="12">
        <f>0</f>
        <v>0</v>
      </c>
      <c r="AP47" s="12">
        <f>0</f>
        <v>0</v>
      </c>
      <c r="AQ47" s="12">
        <f>0</f>
        <v>0</v>
      </c>
      <c r="AR47" s="12">
        <f>0</f>
        <v>0</v>
      </c>
      <c r="AS47" s="14">
        <v>0</v>
      </c>
      <c r="AT47" s="14">
        <v>0</v>
      </c>
      <c r="AU47" s="14">
        <v>0</v>
      </c>
      <c r="AV47" s="14">
        <v>0</v>
      </c>
      <c r="AW47" s="14">
        <v>0</v>
      </c>
      <c r="AX47" s="12">
        <v>0</v>
      </c>
      <c r="AY47" s="12">
        <v>0</v>
      </c>
      <c r="AZ47" s="12">
        <v>0</v>
      </c>
      <c r="BA47" s="12">
        <v>0</v>
      </c>
      <c r="BB47" s="12">
        <v>0</v>
      </c>
      <c r="BC47" s="12">
        <v>0</v>
      </c>
      <c r="BD47" s="12">
        <v>0</v>
      </c>
      <c r="BE47" s="12">
        <v>0</v>
      </c>
      <c r="BF47" s="12">
        <v>0</v>
      </c>
      <c r="BG47" s="12">
        <v>0</v>
      </c>
      <c r="BH47" s="12">
        <v>0</v>
      </c>
      <c r="BI47" s="12">
        <v>0</v>
      </c>
      <c r="BJ47" s="12">
        <v>0</v>
      </c>
      <c r="BK47" s="12">
        <v>0</v>
      </c>
      <c r="BL47" s="12">
        <v>1941.855</v>
      </c>
      <c r="BM47" s="12">
        <v>1447.258</v>
      </c>
      <c r="BN47" s="12">
        <v>24.556570000000001</v>
      </c>
      <c r="BO47" s="12">
        <v>14.719049999999999</v>
      </c>
      <c r="BP47" s="12">
        <v>0</v>
      </c>
      <c r="BQ47" s="12">
        <v>0</v>
      </c>
      <c r="BR47" s="12">
        <v>0</v>
      </c>
      <c r="BS47" s="12">
        <v>0</v>
      </c>
      <c r="BT47" s="12">
        <v>0</v>
      </c>
      <c r="BU47" s="12">
        <v>0</v>
      </c>
      <c r="BV47" s="12">
        <v>0</v>
      </c>
      <c r="BW47" s="12">
        <v>0</v>
      </c>
      <c r="BX47" s="12">
        <v>0</v>
      </c>
      <c r="BY47" s="12">
        <v>0</v>
      </c>
      <c r="BZ47" s="12">
        <v>0</v>
      </c>
      <c r="CA47" s="12">
        <v>0</v>
      </c>
      <c r="CB47" s="12">
        <v>0</v>
      </c>
      <c r="CC47" s="12">
        <v>0</v>
      </c>
      <c r="CD47" s="12">
        <v>0</v>
      </c>
      <c r="CE47" s="12">
        <v>0</v>
      </c>
      <c r="CF47" s="12">
        <v>0</v>
      </c>
      <c r="CG47" s="12">
        <v>0</v>
      </c>
      <c r="CH47" s="11">
        <v>0</v>
      </c>
      <c r="CI47" s="11">
        <v>0</v>
      </c>
      <c r="CJ47" s="11">
        <v>0</v>
      </c>
      <c r="CK47" s="11">
        <v>0</v>
      </c>
      <c r="CL47" s="11">
        <v>0</v>
      </c>
      <c r="CM47" s="11">
        <v>0</v>
      </c>
      <c r="CN47" s="11">
        <v>0</v>
      </c>
      <c r="CO47" s="29">
        <v>0</v>
      </c>
      <c r="CP47" s="29">
        <v>0</v>
      </c>
      <c r="CQ47" s="29">
        <v>0</v>
      </c>
      <c r="CR47" s="29">
        <v>0</v>
      </c>
      <c r="CS47" s="11">
        <v>1</v>
      </c>
      <c r="CT47" s="30">
        <v>16.333333333333332</v>
      </c>
      <c r="CU47" s="30">
        <v>68</v>
      </c>
      <c r="CV47" s="12">
        <v>0</v>
      </c>
      <c r="CW47" s="12">
        <v>0</v>
      </c>
      <c r="CX47" s="11">
        <v>0</v>
      </c>
      <c r="CY47" s="11">
        <v>0</v>
      </c>
      <c r="CZ47" s="11">
        <v>0</v>
      </c>
      <c r="DA47" s="11">
        <v>0</v>
      </c>
      <c r="DB47" s="11">
        <v>0</v>
      </c>
      <c r="DC47" s="11">
        <v>0</v>
      </c>
      <c r="DD47" s="11">
        <v>0</v>
      </c>
      <c r="DG47" s="11">
        <v>114.123</v>
      </c>
      <c r="DH47" s="11">
        <v>423.38499999999999</v>
      </c>
      <c r="DI47" s="12">
        <v>108787.11285758173</v>
      </c>
      <c r="DJ47" s="12">
        <v>67454</v>
      </c>
      <c r="DK47" s="12">
        <v>29468</v>
      </c>
      <c r="DL47" s="12">
        <v>167997</v>
      </c>
      <c r="DM47" s="12">
        <v>271770</v>
      </c>
      <c r="DN47" s="12">
        <v>429850</v>
      </c>
      <c r="DO47" s="12">
        <v>417926</v>
      </c>
      <c r="DP47" s="12">
        <v>506928</v>
      </c>
      <c r="DQ47" s="12">
        <v>756819</v>
      </c>
      <c r="DR47" s="12">
        <v>1407165</v>
      </c>
      <c r="DS47" s="12">
        <v>1573810</v>
      </c>
      <c r="DT47" s="12">
        <v>1702298</v>
      </c>
      <c r="DU47" s="12">
        <v>2174062</v>
      </c>
      <c r="DV47" s="12">
        <v>2676919</v>
      </c>
      <c r="DW47" s="12">
        <v>3129383</v>
      </c>
      <c r="DX47" s="12">
        <v>3307084</v>
      </c>
      <c r="DY47" s="12">
        <v>3618303</v>
      </c>
      <c r="DZ47" s="12">
        <v>4027947</v>
      </c>
      <c r="EA47" s="11">
        <v>114.0125</v>
      </c>
      <c r="EB47" s="11">
        <v>374.05</v>
      </c>
      <c r="EE47" s="11">
        <f t="shared" si="1"/>
        <v>0</v>
      </c>
      <c r="EF47" s="11">
        <v>0</v>
      </c>
      <c r="EG47" s="11">
        <v>0</v>
      </c>
      <c r="EH47" s="11">
        <v>1</v>
      </c>
      <c r="EI47" s="11">
        <v>0</v>
      </c>
      <c r="EJ47" s="11">
        <v>0</v>
      </c>
      <c r="EK47" s="11">
        <v>0</v>
      </c>
      <c r="EL47" s="11">
        <v>0</v>
      </c>
      <c r="EM47" s="11">
        <v>0</v>
      </c>
      <c r="EN47" s="11">
        <v>1</v>
      </c>
      <c r="EO47" s="11">
        <v>0</v>
      </c>
      <c r="EP47" s="11">
        <v>0</v>
      </c>
      <c r="EQ47" s="11">
        <v>0.31214020724062941</v>
      </c>
      <c r="ER47" s="11">
        <v>0.34923883842906484</v>
      </c>
      <c r="ES47" s="11">
        <v>0.170781629781246</v>
      </c>
      <c r="ET47" s="11">
        <v>6.3579378278111803E-2</v>
      </c>
      <c r="EU47" s="11">
        <v>13.609772883688919</v>
      </c>
      <c r="EV47" s="11">
        <v>4.6378992999999999</v>
      </c>
    </row>
    <row r="48" spans="1:152" x14ac:dyDescent="0.2">
      <c r="A48" s="11">
        <v>35</v>
      </c>
      <c r="B48" s="11">
        <v>46</v>
      </c>
      <c r="C48" s="13" t="s">
        <v>34</v>
      </c>
      <c r="D48" s="12">
        <v>0</v>
      </c>
      <c r="E48" s="12">
        <v>1657.6307188282906</v>
      </c>
      <c r="F48" s="12">
        <v>2263.0882250915397</v>
      </c>
      <c r="G48" s="12">
        <v>3017</v>
      </c>
      <c r="H48" s="12">
        <v>4614</v>
      </c>
      <c r="I48" s="12">
        <v>6719</v>
      </c>
      <c r="J48" s="12">
        <v>7619</v>
      </c>
      <c r="K48" s="14">
        <v>8096</v>
      </c>
      <c r="L48" s="12">
        <v>8766.5276073619625</v>
      </c>
      <c r="M48" s="12">
        <v>9229.067484662577</v>
      </c>
      <c r="N48" s="27">
        <v>1.7000000000000001E-2</v>
      </c>
      <c r="O48" s="11">
        <f t="shared" si="0"/>
        <v>1</v>
      </c>
      <c r="P48" s="11">
        <v>0</v>
      </c>
      <c r="Q48" s="11">
        <v>0</v>
      </c>
      <c r="R48" s="11">
        <v>0</v>
      </c>
      <c r="S48" s="11">
        <v>1</v>
      </c>
      <c r="T48" s="11">
        <v>0</v>
      </c>
      <c r="U48" s="11">
        <v>1</v>
      </c>
      <c r="V48" s="11">
        <v>1</v>
      </c>
      <c r="W48" s="11">
        <v>0</v>
      </c>
      <c r="X48" s="11">
        <v>89</v>
      </c>
      <c r="Y48" s="11">
        <v>0</v>
      </c>
      <c r="Z48" s="11">
        <v>0</v>
      </c>
      <c r="AA48" s="11">
        <v>486</v>
      </c>
      <c r="AB48" s="11">
        <v>154</v>
      </c>
      <c r="AC48" s="28"/>
      <c r="AD48" s="28"/>
      <c r="AE48" s="28">
        <f>9+20/60</f>
        <v>9.3333333333333339</v>
      </c>
      <c r="AF48" s="28">
        <f>2+50/60</f>
        <v>2.8333333333333335</v>
      </c>
      <c r="AI48" s="11">
        <v>344</v>
      </c>
      <c r="AJ48" s="11">
        <v>102</v>
      </c>
      <c r="AM48" s="11">
        <v>332</v>
      </c>
      <c r="AN48" s="11">
        <v>101</v>
      </c>
      <c r="AO48" s="12">
        <f>0</f>
        <v>0</v>
      </c>
      <c r="AP48" s="12">
        <f>0</f>
        <v>0</v>
      </c>
      <c r="AQ48" s="12">
        <f>0</f>
        <v>0</v>
      </c>
      <c r="AR48" s="12">
        <f>0</f>
        <v>0</v>
      </c>
      <c r="AS48" s="12">
        <v>0</v>
      </c>
      <c r="AT48" s="12">
        <v>0</v>
      </c>
      <c r="AU48" s="12">
        <v>0</v>
      </c>
      <c r="AV48" s="12">
        <v>0</v>
      </c>
      <c r="AW48" s="12">
        <v>0</v>
      </c>
      <c r="AX48" s="12">
        <v>0</v>
      </c>
      <c r="AY48" s="12">
        <v>0</v>
      </c>
      <c r="AZ48" s="12">
        <v>0</v>
      </c>
      <c r="BA48" s="12">
        <v>0</v>
      </c>
      <c r="BB48" s="12">
        <v>0</v>
      </c>
      <c r="BC48" s="12">
        <v>0</v>
      </c>
      <c r="BD48" s="12">
        <v>0</v>
      </c>
      <c r="BE48" s="12">
        <v>0</v>
      </c>
      <c r="BF48" s="12">
        <v>0</v>
      </c>
      <c r="BG48" s="12">
        <v>0</v>
      </c>
      <c r="BH48" s="12">
        <v>0</v>
      </c>
      <c r="BI48" s="12">
        <v>0</v>
      </c>
      <c r="BJ48" s="12">
        <v>0</v>
      </c>
      <c r="BK48" s="12">
        <v>0</v>
      </c>
      <c r="BL48" s="12">
        <v>2102.4830000000002</v>
      </c>
      <c r="BM48" s="12">
        <v>1263.165</v>
      </c>
      <c r="BN48" s="12">
        <v>24.086110000000001</v>
      </c>
      <c r="BO48" s="12">
        <v>14.20571</v>
      </c>
      <c r="BP48" s="12">
        <v>0</v>
      </c>
      <c r="BQ48" s="12">
        <v>0</v>
      </c>
      <c r="BR48" s="12">
        <v>0</v>
      </c>
      <c r="BS48" s="12">
        <v>0</v>
      </c>
      <c r="BT48" s="12">
        <v>0</v>
      </c>
      <c r="BU48" s="12">
        <v>0</v>
      </c>
      <c r="BV48" s="12">
        <v>0</v>
      </c>
      <c r="BW48" s="12">
        <v>0</v>
      </c>
      <c r="BX48" s="12">
        <v>0</v>
      </c>
      <c r="BY48" s="12">
        <v>0</v>
      </c>
      <c r="BZ48" s="12">
        <v>0</v>
      </c>
      <c r="CA48" s="12">
        <v>0</v>
      </c>
      <c r="CB48" s="12">
        <v>0</v>
      </c>
      <c r="CC48" s="12">
        <v>0</v>
      </c>
      <c r="CD48" s="12">
        <v>0</v>
      </c>
      <c r="CE48" s="12">
        <v>0</v>
      </c>
      <c r="CF48" s="12">
        <v>0</v>
      </c>
      <c r="CG48" s="12">
        <v>0</v>
      </c>
      <c r="CH48" s="11">
        <v>0</v>
      </c>
      <c r="CI48" s="11">
        <v>0</v>
      </c>
      <c r="CJ48" s="11">
        <v>0</v>
      </c>
      <c r="CK48" s="11">
        <v>0</v>
      </c>
      <c r="CL48" s="11">
        <v>0</v>
      </c>
      <c r="CM48" s="11">
        <v>0</v>
      </c>
      <c r="CN48" s="11">
        <v>0</v>
      </c>
      <c r="CO48" s="29">
        <v>0</v>
      </c>
      <c r="CP48" s="29">
        <v>0</v>
      </c>
      <c r="CQ48" s="29">
        <v>0</v>
      </c>
      <c r="CR48" s="29">
        <v>0</v>
      </c>
      <c r="CS48" s="11">
        <v>1</v>
      </c>
      <c r="CT48" s="30">
        <v>20.333333333333332</v>
      </c>
      <c r="CU48" s="30">
        <v>60.333333333333336</v>
      </c>
      <c r="CV48" s="12">
        <v>0</v>
      </c>
      <c r="CW48" s="12">
        <v>0</v>
      </c>
      <c r="CX48" s="11">
        <v>0</v>
      </c>
      <c r="CY48" s="11">
        <v>0</v>
      </c>
      <c r="CZ48" s="11">
        <v>0</v>
      </c>
      <c r="DA48" s="11">
        <v>0</v>
      </c>
      <c r="DB48" s="11">
        <v>0</v>
      </c>
      <c r="DC48" s="11">
        <v>0</v>
      </c>
      <c r="DD48" s="11">
        <v>0</v>
      </c>
      <c r="DG48" s="11">
        <v>137.35599999999999</v>
      </c>
      <c r="DH48" s="11">
        <v>367.13099999999997</v>
      </c>
      <c r="DI48" s="12">
        <v>108787.11285758173</v>
      </c>
      <c r="DJ48" s="12">
        <v>67454</v>
      </c>
      <c r="DK48" s="12">
        <v>29468</v>
      </c>
      <c r="DL48" s="12">
        <v>167997</v>
      </c>
      <c r="DM48" s="12">
        <v>271770</v>
      </c>
      <c r="DN48" s="12">
        <v>429850</v>
      </c>
      <c r="DO48" s="12">
        <v>417926</v>
      </c>
      <c r="DP48" s="12">
        <v>506928</v>
      </c>
      <c r="DQ48" s="12">
        <v>756819</v>
      </c>
      <c r="DR48" s="12">
        <v>1407165</v>
      </c>
      <c r="DS48" s="12">
        <v>1573810</v>
      </c>
      <c r="DT48" s="12">
        <v>1702298</v>
      </c>
      <c r="DU48" s="12">
        <v>2174062</v>
      </c>
      <c r="DV48" s="12">
        <v>2676919</v>
      </c>
      <c r="DW48" s="12">
        <v>3129383</v>
      </c>
      <c r="DX48" s="12">
        <v>3307084</v>
      </c>
      <c r="DY48" s="12">
        <v>3618303</v>
      </c>
      <c r="DZ48" s="12">
        <v>4027947</v>
      </c>
      <c r="EA48" s="11">
        <v>99.974999999999994</v>
      </c>
      <c r="EB48" s="11">
        <v>328.73750000000001</v>
      </c>
      <c r="EE48" s="11">
        <f t="shared" si="1"/>
        <v>0</v>
      </c>
      <c r="EF48" s="11">
        <v>1</v>
      </c>
      <c r="EG48" s="11">
        <v>0</v>
      </c>
      <c r="EH48" s="11">
        <v>0</v>
      </c>
      <c r="EI48" s="11">
        <v>0</v>
      </c>
      <c r="EJ48" s="11">
        <v>0</v>
      </c>
      <c r="EK48" s="11">
        <v>0</v>
      </c>
      <c r="EL48" s="11">
        <v>0</v>
      </c>
      <c r="EM48" s="11">
        <v>0</v>
      </c>
      <c r="EN48" s="11">
        <v>1</v>
      </c>
      <c r="EO48" s="11">
        <v>0</v>
      </c>
      <c r="EP48" s="11">
        <v>0</v>
      </c>
      <c r="EQ48" s="11">
        <v>0.25818513451892383</v>
      </c>
      <c r="ER48" s="11">
        <v>0.35275877792977656</v>
      </c>
      <c r="ES48" s="11">
        <v>0.19735522115823073</v>
      </c>
      <c r="ET48" s="11">
        <v>0.10405836753305973</v>
      </c>
      <c r="EU48" s="11">
        <v>1.8291415506131781</v>
      </c>
      <c r="EV48" s="11">
        <v>4.3840165999999998</v>
      </c>
    </row>
    <row r="49" spans="1:152" x14ac:dyDescent="0.2">
      <c r="A49" s="11">
        <v>36</v>
      </c>
      <c r="B49" s="11">
        <v>47</v>
      </c>
      <c r="C49" s="13" t="s">
        <v>35</v>
      </c>
      <c r="D49" s="12">
        <v>0</v>
      </c>
      <c r="E49" s="12">
        <v>2362.8106378878397</v>
      </c>
      <c r="F49" s="12">
        <v>2542.9215263056467</v>
      </c>
      <c r="G49" s="12">
        <v>2720</v>
      </c>
      <c r="H49" s="14">
        <v>3781</v>
      </c>
      <c r="I49" s="14">
        <v>4825</v>
      </c>
      <c r="J49" s="14">
        <v>4840</v>
      </c>
      <c r="K49" s="14">
        <v>4521</v>
      </c>
      <c r="L49" s="14">
        <v>4299</v>
      </c>
      <c r="M49" s="12">
        <v>3885</v>
      </c>
      <c r="N49" s="27">
        <v>1.7000000000000001E-2</v>
      </c>
      <c r="O49" s="11">
        <f t="shared" si="0"/>
        <v>1</v>
      </c>
      <c r="P49" s="11">
        <v>0</v>
      </c>
      <c r="Q49" s="11">
        <v>0</v>
      </c>
      <c r="R49" s="11">
        <v>0</v>
      </c>
      <c r="S49" s="11">
        <v>1</v>
      </c>
      <c r="T49" s="11">
        <v>0</v>
      </c>
      <c r="U49" s="11">
        <v>1</v>
      </c>
      <c r="V49" s="11">
        <v>1</v>
      </c>
      <c r="W49" s="11">
        <v>0</v>
      </c>
      <c r="X49" s="11">
        <v>111</v>
      </c>
      <c r="Y49" s="11">
        <v>0</v>
      </c>
      <c r="Z49" s="11">
        <v>0</v>
      </c>
      <c r="AA49" s="11">
        <v>437</v>
      </c>
      <c r="AB49" s="11">
        <v>199</v>
      </c>
      <c r="AC49" s="28"/>
      <c r="AD49" s="28"/>
      <c r="AE49" s="28">
        <f>8+15/60</f>
        <v>8.25</v>
      </c>
      <c r="AF49" s="28">
        <f>3+40/60</f>
        <v>3.6666666666666665</v>
      </c>
      <c r="AI49" s="11">
        <v>290</v>
      </c>
      <c r="AJ49" s="11">
        <v>133</v>
      </c>
      <c r="AM49" s="11">
        <v>302</v>
      </c>
      <c r="AN49" s="11">
        <v>131</v>
      </c>
      <c r="AO49" s="12">
        <f>0</f>
        <v>0</v>
      </c>
      <c r="AP49" s="12">
        <f>0</f>
        <v>0</v>
      </c>
      <c r="AQ49" s="12">
        <f>0</f>
        <v>0</v>
      </c>
      <c r="AR49" s="12">
        <f>0</f>
        <v>0</v>
      </c>
      <c r="AS49" s="12">
        <v>0</v>
      </c>
      <c r="AT49" s="12">
        <v>0</v>
      </c>
      <c r="AU49" s="12">
        <v>0</v>
      </c>
      <c r="AV49" s="12">
        <v>0</v>
      </c>
      <c r="AW49" s="12">
        <v>0</v>
      </c>
      <c r="AX49" s="12">
        <v>0</v>
      </c>
      <c r="AY49" s="12">
        <v>0</v>
      </c>
      <c r="AZ49" s="12">
        <v>0</v>
      </c>
      <c r="BA49" s="12">
        <v>0</v>
      </c>
      <c r="BB49" s="12">
        <v>0</v>
      </c>
      <c r="BC49" s="12">
        <v>0</v>
      </c>
      <c r="BD49" s="12">
        <v>0</v>
      </c>
      <c r="BE49" s="12">
        <v>0</v>
      </c>
      <c r="BF49" s="12">
        <v>0</v>
      </c>
      <c r="BG49" s="12">
        <v>0</v>
      </c>
      <c r="BH49" s="12">
        <v>0</v>
      </c>
      <c r="BI49" s="12">
        <v>0</v>
      </c>
      <c r="BJ49" s="12">
        <v>0</v>
      </c>
      <c r="BK49" s="12">
        <v>0</v>
      </c>
      <c r="BL49" s="12">
        <v>1715.721</v>
      </c>
      <c r="BM49" s="12">
        <v>1451.41</v>
      </c>
      <c r="BN49" s="12">
        <v>23.687100000000001</v>
      </c>
      <c r="BO49" s="12">
        <v>14.08182</v>
      </c>
      <c r="BP49" s="12">
        <v>0</v>
      </c>
      <c r="BQ49" s="12">
        <v>0</v>
      </c>
      <c r="BR49" s="12">
        <v>0</v>
      </c>
      <c r="BS49" s="12">
        <v>0</v>
      </c>
      <c r="BT49" s="12">
        <v>0</v>
      </c>
      <c r="BU49" s="12">
        <v>0</v>
      </c>
      <c r="BV49" s="12">
        <v>0</v>
      </c>
      <c r="BW49" s="12">
        <v>0</v>
      </c>
      <c r="BX49" s="12">
        <v>0</v>
      </c>
      <c r="BY49" s="12">
        <v>0</v>
      </c>
      <c r="BZ49" s="12">
        <v>0</v>
      </c>
      <c r="CA49" s="12">
        <v>0</v>
      </c>
      <c r="CB49" s="12">
        <v>0</v>
      </c>
      <c r="CC49" s="12">
        <v>0</v>
      </c>
      <c r="CD49" s="12">
        <v>0</v>
      </c>
      <c r="CE49" s="12">
        <v>0</v>
      </c>
      <c r="CF49" s="12">
        <v>0</v>
      </c>
      <c r="CG49" s="12">
        <v>0</v>
      </c>
      <c r="CH49" s="11">
        <v>0</v>
      </c>
      <c r="CI49" s="11">
        <v>0</v>
      </c>
      <c r="CJ49" s="11">
        <v>0</v>
      </c>
      <c r="CK49" s="11">
        <v>0</v>
      </c>
      <c r="CL49" s="11">
        <v>0</v>
      </c>
      <c r="CM49" s="11">
        <v>0</v>
      </c>
      <c r="CN49" s="11">
        <v>0</v>
      </c>
      <c r="CO49" s="29">
        <v>0</v>
      </c>
      <c r="CP49" s="29">
        <v>0</v>
      </c>
      <c r="CQ49" s="29">
        <v>0</v>
      </c>
      <c r="CR49" s="29">
        <v>0</v>
      </c>
      <c r="CS49" s="11">
        <v>1</v>
      </c>
      <c r="CT49" s="30">
        <v>46</v>
      </c>
      <c r="CU49" s="30">
        <v>59.666666666666664</v>
      </c>
      <c r="CV49" s="12">
        <v>0</v>
      </c>
      <c r="CW49" s="12">
        <v>0</v>
      </c>
      <c r="CX49" s="11">
        <v>0</v>
      </c>
      <c r="CY49" s="11">
        <v>0</v>
      </c>
      <c r="CZ49" s="11">
        <v>0</v>
      </c>
      <c r="DA49" s="11">
        <v>0</v>
      </c>
      <c r="DB49" s="11">
        <v>0</v>
      </c>
      <c r="DC49" s="11">
        <v>0</v>
      </c>
      <c r="DD49" s="11">
        <v>0</v>
      </c>
      <c r="DG49" s="11">
        <v>168.512</v>
      </c>
      <c r="DH49" s="11">
        <v>329.59800000000001</v>
      </c>
      <c r="DI49" s="12">
        <v>108787.11285758173</v>
      </c>
      <c r="DJ49" s="12">
        <v>67454</v>
      </c>
      <c r="DK49" s="12">
        <v>29468</v>
      </c>
      <c r="DL49" s="12">
        <v>167997</v>
      </c>
      <c r="DM49" s="12">
        <v>271770</v>
      </c>
      <c r="DN49" s="12">
        <v>429850</v>
      </c>
      <c r="DO49" s="12">
        <v>417926</v>
      </c>
      <c r="DP49" s="12">
        <v>506928</v>
      </c>
      <c r="DQ49" s="12">
        <v>756819</v>
      </c>
      <c r="DR49" s="12">
        <v>1407165</v>
      </c>
      <c r="DS49" s="12">
        <v>1573810</v>
      </c>
      <c r="DT49" s="12">
        <v>1702298</v>
      </c>
      <c r="DU49" s="12">
        <v>2174062</v>
      </c>
      <c r="DV49" s="12">
        <v>2676919</v>
      </c>
      <c r="DW49" s="12">
        <v>3129383</v>
      </c>
      <c r="DX49" s="12">
        <v>3307084</v>
      </c>
      <c r="DY49" s="12">
        <v>3618303</v>
      </c>
      <c r="DZ49" s="12">
        <v>4027947</v>
      </c>
      <c r="EA49" s="11">
        <v>125.7375</v>
      </c>
      <c r="EB49" s="11">
        <v>302.97500000000002</v>
      </c>
      <c r="EE49" s="11">
        <f t="shared" si="1"/>
        <v>0</v>
      </c>
      <c r="EF49" s="11">
        <v>0</v>
      </c>
      <c r="EG49" s="11">
        <v>0</v>
      </c>
      <c r="EH49" s="11">
        <v>0</v>
      </c>
      <c r="EI49" s="11">
        <v>1</v>
      </c>
      <c r="EJ49" s="11">
        <v>0</v>
      </c>
      <c r="EK49" s="11">
        <v>1</v>
      </c>
      <c r="EL49" s="11">
        <v>0</v>
      </c>
      <c r="EM49" s="11">
        <v>0</v>
      </c>
      <c r="EN49" s="11">
        <v>0</v>
      </c>
      <c r="EO49" s="11">
        <v>0</v>
      </c>
      <c r="EP49" s="11">
        <v>0</v>
      </c>
      <c r="EQ49" s="11">
        <v>0.3478073946689596</v>
      </c>
      <c r="ER49" s="11">
        <v>0.31427343078245917</v>
      </c>
      <c r="ES49" s="11">
        <v>0.14187446259673259</v>
      </c>
      <c r="ET49" s="11">
        <v>6.2338779019776441E-2</v>
      </c>
      <c r="EU49" s="11">
        <v>47.159343098091433</v>
      </c>
      <c r="EV49" s="11">
        <v>2.2686918</v>
      </c>
    </row>
    <row r="50" spans="1:152" x14ac:dyDescent="0.2">
      <c r="A50" s="11">
        <v>57</v>
      </c>
      <c r="B50" s="11">
        <v>48</v>
      </c>
      <c r="C50" s="13" t="s">
        <v>60</v>
      </c>
      <c r="D50" s="12">
        <v>1465</v>
      </c>
      <c r="E50" s="12">
        <v>1851.5511267821553</v>
      </c>
      <c r="F50" s="12">
        <v>1913.6366702437526</v>
      </c>
      <c r="G50" s="12">
        <v>2081</v>
      </c>
      <c r="H50" s="12">
        <v>2254</v>
      </c>
      <c r="I50" s="12">
        <v>2703</v>
      </c>
      <c r="J50" s="12">
        <v>3711</v>
      </c>
      <c r="K50" s="14">
        <v>3919</v>
      </c>
      <c r="L50" s="12">
        <v>3878.7575039494468</v>
      </c>
      <c r="M50" s="12">
        <v>3918.9999999999995</v>
      </c>
      <c r="N50" s="27">
        <v>1E-3</v>
      </c>
      <c r="O50" s="11">
        <f t="shared" si="0"/>
        <v>0</v>
      </c>
      <c r="P50" s="11">
        <v>0</v>
      </c>
      <c r="Q50" s="11">
        <v>1</v>
      </c>
      <c r="R50" s="11">
        <v>0</v>
      </c>
      <c r="S50" s="11">
        <v>1</v>
      </c>
      <c r="T50" s="11">
        <v>0</v>
      </c>
      <c r="U50" s="11">
        <v>0</v>
      </c>
      <c r="V50" s="11">
        <v>1</v>
      </c>
      <c r="W50" s="11">
        <v>0</v>
      </c>
      <c r="X50" s="11">
        <v>10</v>
      </c>
      <c r="Y50" s="11">
        <v>223</v>
      </c>
      <c r="Z50" s="11">
        <v>151</v>
      </c>
      <c r="AA50" s="11">
        <v>0</v>
      </c>
      <c r="AB50" s="11">
        <v>0</v>
      </c>
      <c r="AC50" s="28">
        <f>3+35/60</f>
        <v>3.5833333333333335</v>
      </c>
      <c r="AD50" s="28">
        <f>2+20/60</f>
        <v>2.3333333333333335</v>
      </c>
      <c r="AE50" s="28"/>
      <c r="AF50" s="28"/>
      <c r="AG50" s="11">
        <v>136</v>
      </c>
      <c r="AH50" s="11">
        <v>90</v>
      </c>
      <c r="AK50" s="11">
        <v>132</v>
      </c>
      <c r="AL50" s="11">
        <v>99</v>
      </c>
      <c r="AO50" s="12">
        <f>0</f>
        <v>0</v>
      </c>
      <c r="AP50" s="12">
        <f>0</f>
        <v>0</v>
      </c>
      <c r="AQ50" s="12">
        <f>0</f>
        <v>0</v>
      </c>
      <c r="AR50" s="12">
        <f>0</f>
        <v>0</v>
      </c>
      <c r="AS50" s="14">
        <v>0</v>
      </c>
      <c r="AT50" s="14">
        <v>0</v>
      </c>
      <c r="AU50" s="14">
        <v>0</v>
      </c>
      <c r="AV50" s="14">
        <v>0</v>
      </c>
      <c r="AW50" s="14">
        <v>0</v>
      </c>
      <c r="AX50" s="12">
        <v>0</v>
      </c>
      <c r="AY50" s="12">
        <v>0</v>
      </c>
      <c r="AZ50" s="12">
        <v>0</v>
      </c>
      <c r="BA50" s="12">
        <v>0</v>
      </c>
      <c r="BB50" s="12">
        <v>0</v>
      </c>
      <c r="BC50" s="12">
        <v>0</v>
      </c>
      <c r="BD50" s="12">
        <v>0</v>
      </c>
      <c r="BE50" s="12">
        <v>0</v>
      </c>
      <c r="BF50" s="12">
        <v>0</v>
      </c>
      <c r="BG50" s="12">
        <v>0</v>
      </c>
      <c r="BH50" s="12">
        <v>0</v>
      </c>
      <c r="BI50" s="12">
        <v>0</v>
      </c>
      <c r="BJ50" s="12">
        <v>0</v>
      </c>
      <c r="BK50" s="12">
        <v>0</v>
      </c>
      <c r="BL50" s="12">
        <v>1865.8510000000001</v>
      </c>
      <c r="BM50" s="12">
        <v>616.90309999999999</v>
      </c>
      <c r="BN50" s="12">
        <v>20.818950000000001</v>
      </c>
      <c r="BO50" s="12">
        <v>11.33736</v>
      </c>
      <c r="BP50" s="12">
        <v>0</v>
      </c>
      <c r="BQ50" s="12">
        <v>0</v>
      </c>
      <c r="BR50" s="12">
        <v>0</v>
      </c>
      <c r="BS50" s="12">
        <v>0</v>
      </c>
      <c r="BT50" s="12">
        <v>0</v>
      </c>
      <c r="BU50" s="12">
        <v>0</v>
      </c>
      <c r="BV50" s="12">
        <v>0</v>
      </c>
      <c r="BW50" s="12">
        <v>0</v>
      </c>
      <c r="BX50" s="12">
        <v>0</v>
      </c>
      <c r="BY50" s="12">
        <v>0</v>
      </c>
      <c r="BZ50" s="12">
        <v>0</v>
      </c>
      <c r="CA50" s="12">
        <v>0</v>
      </c>
      <c r="CB50" s="12">
        <v>0</v>
      </c>
      <c r="CC50" s="12">
        <v>0</v>
      </c>
      <c r="CD50" s="12">
        <v>0</v>
      </c>
      <c r="CE50" s="12">
        <v>0</v>
      </c>
      <c r="CF50" s="12">
        <v>0</v>
      </c>
      <c r="CG50" s="12">
        <v>0</v>
      </c>
      <c r="CH50" s="11">
        <v>0</v>
      </c>
      <c r="CI50" s="11">
        <v>0</v>
      </c>
      <c r="CJ50" s="11">
        <v>0</v>
      </c>
      <c r="CK50" s="11">
        <v>0</v>
      </c>
      <c r="CL50" s="11">
        <v>0</v>
      </c>
      <c r="CM50" s="11">
        <v>0</v>
      </c>
      <c r="CN50" s="11">
        <v>0</v>
      </c>
      <c r="CO50" s="29">
        <v>0</v>
      </c>
      <c r="CP50" s="29">
        <v>0</v>
      </c>
      <c r="CQ50" s="29">
        <v>0</v>
      </c>
      <c r="CR50" s="29">
        <v>0</v>
      </c>
      <c r="CS50" s="11">
        <v>1</v>
      </c>
      <c r="CT50" s="30">
        <v>43.333333333333336</v>
      </c>
      <c r="CU50" s="30">
        <v>48</v>
      </c>
      <c r="CV50" s="12">
        <v>0</v>
      </c>
      <c r="CW50" s="12">
        <v>0</v>
      </c>
      <c r="CX50" s="11">
        <v>0</v>
      </c>
      <c r="CY50" s="11">
        <v>0</v>
      </c>
      <c r="CZ50" s="11">
        <v>0</v>
      </c>
      <c r="DA50" s="11">
        <v>0</v>
      </c>
      <c r="DB50" s="11">
        <v>0</v>
      </c>
      <c r="DC50" s="11">
        <v>0</v>
      </c>
      <c r="DD50" s="11">
        <v>0</v>
      </c>
      <c r="DE50" s="11">
        <v>191.517</v>
      </c>
      <c r="DF50" s="11">
        <v>134.88499999999999</v>
      </c>
      <c r="DI50" s="12">
        <v>108787.11285758173</v>
      </c>
      <c r="DJ50" s="12">
        <v>67454</v>
      </c>
      <c r="DK50" s="12">
        <v>29468</v>
      </c>
      <c r="DL50" s="12">
        <v>167997</v>
      </c>
      <c r="DM50" s="12">
        <v>271770</v>
      </c>
      <c r="DN50" s="12">
        <v>429850</v>
      </c>
      <c r="DO50" s="12">
        <v>417926</v>
      </c>
      <c r="DP50" s="12">
        <v>506928</v>
      </c>
      <c r="DQ50" s="12">
        <v>756819</v>
      </c>
      <c r="DR50" s="12">
        <v>1407165</v>
      </c>
      <c r="DS50" s="12">
        <v>1573810</v>
      </c>
      <c r="DT50" s="12">
        <v>1702298</v>
      </c>
      <c r="DU50" s="12">
        <v>2174062</v>
      </c>
      <c r="DV50" s="12">
        <v>2676919</v>
      </c>
      <c r="DW50" s="12">
        <v>3129383</v>
      </c>
      <c r="DX50" s="12">
        <v>3307084</v>
      </c>
      <c r="DY50" s="12">
        <v>3618303</v>
      </c>
      <c r="DZ50" s="12">
        <v>4027947</v>
      </c>
      <c r="EC50" s="11">
        <v>88.325000000000003</v>
      </c>
      <c r="ED50" s="11">
        <v>141.33750000000001</v>
      </c>
      <c r="EE50" s="11">
        <f t="shared" si="1"/>
        <v>0</v>
      </c>
      <c r="EF50" s="11">
        <v>1</v>
      </c>
      <c r="EG50" s="11">
        <v>0</v>
      </c>
      <c r="EH50" s="11">
        <v>0</v>
      </c>
      <c r="EI50" s="11">
        <v>0</v>
      </c>
      <c r="EJ50" s="11">
        <v>0</v>
      </c>
      <c r="EK50" s="11">
        <v>0</v>
      </c>
      <c r="EL50" s="11">
        <v>0</v>
      </c>
      <c r="EM50" s="11">
        <v>0</v>
      </c>
      <c r="EN50" s="11">
        <v>0</v>
      </c>
      <c r="EO50" s="11">
        <v>0</v>
      </c>
      <c r="EP50" s="11">
        <v>1</v>
      </c>
      <c r="EQ50" s="11">
        <v>0.30733229329173167</v>
      </c>
      <c r="ER50" s="11">
        <v>0.34243369734789392</v>
      </c>
      <c r="ES50" s="11">
        <v>0.18469405442884382</v>
      </c>
      <c r="ET50" s="11">
        <v>6.9596117178020458E-2</v>
      </c>
      <c r="EU50" s="11">
        <v>0.53288172862931471</v>
      </c>
      <c r="EV50" s="11">
        <v>3.2693970999999999</v>
      </c>
    </row>
    <row r="51" spans="1:152" x14ac:dyDescent="0.2">
      <c r="A51" s="11">
        <v>20</v>
      </c>
      <c r="B51" s="11">
        <v>49</v>
      </c>
      <c r="C51" s="13" t="s">
        <v>19</v>
      </c>
      <c r="D51" s="12">
        <v>6424</v>
      </c>
      <c r="E51" s="12">
        <v>16840.202974091673</v>
      </c>
      <c r="F51" s="12">
        <v>18839.958301395061</v>
      </c>
      <c r="G51" s="12">
        <v>19596</v>
      </c>
      <c r="H51" s="12">
        <v>24694</v>
      </c>
      <c r="I51" s="12">
        <v>27946</v>
      </c>
      <c r="J51" s="12">
        <v>29958</v>
      </c>
      <c r="K51" s="12">
        <v>28621</v>
      </c>
      <c r="L51" s="12">
        <v>27521</v>
      </c>
      <c r="M51" s="12">
        <v>26886</v>
      </c>
      <c r="N51" s="27">
        <v>1E-3</v>
      </c>
      <c r="O51" s="11">
        <f t="shared" si="0"/>
        <v>0</v>
      </c>
      <c r="P51" s="11">
        <v>0</v>
      </c>
      <c r="Q51" s="11">
        <v>0</v>
      </c>
      <c r="R51" s="11">
        <v>0</v>
      </c>
      <c r="S51" s="11">
        <v>1</v>
      </c>
      <c r="T51" s="11">
        <v>1</v>
      </c>
      <c r="U51" s="11">
        <v>0</v>
      </c>
      <c r="V51" s="11">
        <v>1</v>
      </c>
      <c r="W51" s="11">
        <v>1</v>
      </c>
      <c r="X51" s="11">
        <v>0</v>
      </c>
      <c r="Y51" s="11">
        <v>204</v>
      </c>
      <c r="Z51" s="11">
        <v>170</v>
      </c>
      <c r="AA51" s="11">
        <v>0</v>
      </c>
      <c r="AB51" s="11">
        <v>0</v>
      </c>
      <c r="AC51" s="28">
        <f>3+25/60</f>
        <v>3.4166666666666665</v>
      </c>
      <c r="AD51" s="28">
        <f>2+30/60</f>
        <v>2.5</v>
      </c>
      <c r="AE51" s="28"/>
      <c r="AF51" s="28"/>
      <c r="AG51" s="11">
        <v>127</v>
      </c>
      <c r="AH51" s="11">
        <v>99</v>
      </c>
      <c r="AK51" s="11">
        <v>122</v>
      </c>
      <c r="AL51" s="11">
        <v>109</v>
      </c>
      <c r="AO51" s="12">
        <f>0</f>
        <v>0</v>
      </c>
      <c r="AP51" s="12">
        <f>0</f>
        <v>0</v>
      </c>
      <c r="AQ51" s="12">
        <f>0</f>
        <v>0</v>
      </c>
      <c r="AR51" s="12">
        <f>0</f>
        <v>0</v>
      </c>
      <c r="AS51" s="12">
        <v>0</v>
      </c>
      <c r="AT51" s="12">
        <v>0</v>
      </c>
      <c r="AU51" s="12">
        <v>1</v>
      </c>
      <c r="AV51" s="12">
        <v>1</v>
      </c>
      <c r="AW51" s="12">
        <v>1</v>
      </c>
      <c r="AX51" s="12">
        <v>0</v>
      </c>
      <c r="AY51" s="12">
        <v>0</v>
      </c>
      <c r="AZ51" s="12">
        <v>0</v>
      </c>
      <c r="BA51" s="12">
        <v>0</v>
      </c>
      <c r="BB51" s="12">
        <v>0</v>
      </c>
      <c r="BC51" s="12">
        <v>0</v>
      </c>
      <c r="BD51" s="12">
        <v>0</v>
      </c>
      <c r="BE51" s="12">
        <v>0</v>
      </c>
      <c r="BF51" s="12">
        <v>0</v>
      </c>
      <c r="BG51" s="12">
        <v>0</v>
      </c>
      <c r="BH51" s="12"/>
      <c r="BI51" s="12">
        <v>1</v>
      </c>
      <c r="BJ51" s="12">
        <v>1</v>
      </c>
      <c r="BK51" s="12">
        <v>1</v>
      </c>
      <c r="BL51" s="12">
        <v>1865.8510000000001</v>
      </c>
      <c r="BM51" s="12">
        <v>584.13639999999998</v>
      </c>
      <c r="BN51" s="12">
        <v>20.9072</v>
      </c>
      <c r="BO51" s="12">
        <v>10.529109999999999</v>
      </c>
      <c r="BP51" s="12">
        <v>812</v>
      </c>
      <c r="BQ51" s="12">
        <v>1034</v>
      </c>
      <c r="BR51" s="12">
        <v>1</v>
      </c>
      <c r="BS51" s="12">
        <v>1</v>
      </c>
      <c r="BT51" s="12">
        <v>886653</v>
      </c>
      <c r="BU51" s="12">
        <v>524603</v>
      </c>
      <c r="BV51" s="12">
        <v>387</v>
      </c>
      <c r="BW51" s="12">
        <v>562589</v>
      </c>
      <c r="BX51" s="12">
        <v>385</v>
      </c>
      <c r="BY51" s="12">
        <v>480289</v>
      </c>
      <c r="BZ51" s="12">
        <v>123</v>
      </c>
      <c r="CA51" s="12">
        <v>180225</v>
      </c>
      <c r="CB51" s="12">
        <v>308</v>
      </c>
      <c r="CC51" s="12">
        <v>453090</v>
      </c>
      <c r="CD51" s="12">
        <v>318</v>
      </c>
      <c r="CE51" s="12">
        <v>711972</v>
      </c>
      <c r="CF51" s="12">
        <v>142</v>
      </c>
      <c r="CG51" s="12">
        <v>680000</v>
      </c>
      <c r="CH51" s="11">
        <v>1</v>
      </c>
      <c r="CI51" s="11">
        <v>1</v>
      </c>
      <c r="CJ51" s="11">
        <v>1</v>
      </c>
      <c r="CK51" s="11">
        <v>1</v>
      </c>
      <c r="CL51" s="11">
        <v>1</v>
      </c>
      <c r="CM51" s="11">
        <v>1</v>
      </c>
      <c r="CN51" s="11">
        <v>1</v>
      </c>
      <c r="CO51" s="29">
        <v>1</v>
      </c>
      <c r="CP51" s="29">
        <v>1</v>
      </c>
      <c r="CQ51" s="29">
        <v>1</v>
      </c>
      <c r="CR51" s="29">
        <v>1</v>
      </c>
      <c r="CS51" s="11">
        <v>1</v>
      </c>
      <c r="CT51" s="30">
        <v>43.333333333333336</v>
      </c>
      <c r="CU51" s="30">
        <v>48</v>
      </c>
      <c r="CV51" s="12">
        <v>0</v>
      </c>
      <c r="CW51" s="12">
        <v>0</v>
      </c>
      <c r="CX51" s="11">
        <v>0</v>
      </c>
      <c r="CY51" s="11">
        <v>0</v>
      </c>
      <c r="CZ51" s="11">
        <v>0</v>
      </c>
      <c r="DA51" s="11">
        <v>0</v>
      </c>
      <c r="DB51" s="11">
        <v>0</v>
      </c>
      <c r="DC51" s="11">
        <v>0</v>
      </c>
      <c r="DD51" s="11">
        <v>0</v>
      </c>
      <c r="DE51" s="11">
        <v>174.98099999999999</v>
      </c>
      <c r="DF51" s="11">
        <v>146.70500000000001</v>
      </c>
      <c r="DI51" s="12">
        <v>108787.11285758173</v>
      </c>
      <c r="DJ51" s="12">
        <v>67454</v>
      </c>
      <c r="DK51" s="12">
        <v>29468</v>
      </c>
      <c r="DL51" s="12">
        <v>167997</v>
      </c>
      <c r="DM51" s="12">
        <v>271770</v>
      </c>
      <c r="DN51" s="12">
        <v>429850</v>
      </c>
      <c r="DO51" s="12">
        <v>417926</v>
      </c>
      <c r="DP51" s="12">
        <v>506928</v>
      </c>
      <c r="DQ51" s="12">
        <v>756819</v>
      </c>
      <c r="DR51" s="12">
        <v>1407165</v>
      </c>
      <c r="DS51" s="12">
        <v>1573810</v>
      </c>
      <c r="DT51" s="12">
        <v>1702298</v>
      </c>
      <c r="DU51" s="12">
        <v>2174062</v>
      </c>
      <c r="DV51" s="12">
        <v>2676919</v>
      </c>
      <c r="DW51" s="12">
        <v>3129383</v>
      </c>
      <c r="DX51" s="12">
        <v>3307084</v>
      </c>
      <c r="DY51" s="12">
        <v>3618303</v>
      </c>
      <c r="DZ51" s="12">
        <v>4027947</v>
      </c>
      <c r="EC51" s="11">
        <v>99.512500000000003</v>
      </c>
      <c r="ED51" s="11">
        <v>130.15</v>
      </c>
      <c r="EE51" s="11">
        <f t="shared" si="1"/>
        <v>0</v>
      </c>
      <c r="EF51" s="11">
        <v>1</v>
      </c>
      <c r="EG51" s="11">
        <v>0</v>
      </c>
      <c r="EH51" s="11">
        <v>0</v>
      </c>
      <c r="EI51" s="11">
        <v>0</v>
      </c>
      <c r="EJ51" s="11">
        <v>0</v>
      </c>
      <c r="EK51" s="11">
        <v>0</v>
      </c>
      <c r="EL51" s="11">
        <v>0</v>
      </c>
      <c r="EM51" s="11">
        <v>0</v>
      </c>
      <c r="EN51" s="11">
        <v>0</v>
      </c>
      <c r="EO51" s="11">
        <v>0</v>
      </c>
      <c r="EP51" s="11">
        <v>1</v>
      </c>
      <c r="EQ51" s="11">
        <v>0.30733229329173167</v>
      </c>
      <c r="ER51" s="11">
        <v>0.34243369734789392</v>
      </c>
      <c r="ES51" s="11">
        <v>0.18469405442884382</v>
      </c>
      <c r="ET51" s="11">
        <v>6.9596117178020458E-2</v>
      </c>
      <c r="EU51" s="11">
        <v>0.53288172862931471</v>
      </c>
      <c r="EV51" s="11">
        <v>3.2693970999999999</v>
      </c>
    </row>
    <row r="52" spans="1:152" x14ac:dyDescent="0.2">
      <c r="A52" s="11">
        <v>24</v>
      </c>
      <c r="B52" s="11">
        <v>50</v>
      </c>
      <c r="C52" s="13" t="s">
        <v>23</v>
      </c>
      <c r="D52" s="12">
        <v>0</v>
      </c>
      <c r="E52" s="12"/>
      <c r="F52" s="12"/>
      <c r="G52" s="12"/>
      <c r="H52" s="12"/>
      <c r="I52" s="12"/>
      <c r="J52" s="12">
        <v>19232.275641025644</v>
      </c>
      <c r="K52" s="14">
        <v>18193</v>
      </c>
      <c r="L52" s="12">
        <v>15110.124744027302</v>
      </c>
      <c r="M52" s="12">
        <v>12356.337883959044</v>
      </c>
      <c r="N52" s="27">
        <v>1.7000000000000001E-2</v>
      </c>
      <c r="O52" s="11">
        <f t="shared" si="0"/>
        <v>1</v>
      </c>
      <c r="P52" s="11">
        <v>0</v>
      </c>
      <c r="Q52" s="11">
        <v>0</v>
      </c>
      <c r="R52" s="11">
        <v>0</v>
      </c>
      <c r="S52" s="11">
        <v>0</v>
      </c>
      <c r="T52" s="11">
        <v>0</v>
      </c>
      <c r="U52" s="11">
        <v>1</v>
      </c>
      <c r="V52" s="11">
        <v>0</v>
      </c>
      <c r="W52" s="11">
        <v>0</v>
      </c>
      <c r="AC52" s="28"/>
      <c r="AD52" s="28"/>
      <c r="AE52" s="28"/>
      <c r="AF52" s="28"/>
      <c r="AO52" s="12">
        <f>0</f>
        <v>0</v>
      </c>
      <c r="AP52" s="12">
        <f>0</f>
        <v>0</v>
      </c>
      <c r="AQ52" s="12">
        <f>0</f>
        <v>0</v>
      </c>
      <c r="AR52" s="12">
        <f>0</f>
        <v>0</v>
      </c>
      <c r="AS52" s="12">
        <v>0</v>
      </c>
      <c r="AT52" s="12">
        <v>0</v>
      </c>
      <c r="AU52" s="14">
        <v>0</v>
      </c>
      <c r="AV52" s="12">
        <v>0</v>
      </c>
      <c r="AW52" s="12">
        <v>0</v>
      </c>
      <c r="AX52" s="12">
        <v>0</v>
      </c>
      <c r="AY52" s="12">
        <v>0</v>
      </c>
      <c r="AZ52" s="12">
        <v>0</v>
      </c>
      <c r="BA52" s="12">
        <v>0</v>
      </c>
      <c r="BB52" s="12">
        <v>0</v>
      </c>
      <c r="BC52" s="12">
        <v>0</v>
      </c>
      <c r="BD52" s="12">
        <v>0</v>
      </c>
      <c r="BE52" s="12">
        <v>0</v>
      </c>
      <c r="BF52" s="12">
        <v>0</v>
      </c>
      <c r="BG52" s="12">
        <v>0</v>
      </c>
      <c r="BH52" s="12">
        <v>0</v>
      </c>
      <c r="BI52" s="12">
        <v>0</v>
      </c>
      <c r="BJ52" s="12">
        <v>0</v>
      </c>
      <c r="BK52" s="12">
        <v>0</v>
      </c>
      <c r="BL52" s="12">
        <v>2133.0450000000001</v>
      </c>
      <c r="BM52" s="12">
        <v>1508.221</v>
      </c>
      <c r="BN52" s="12">
        <v>22.448889999999999</v>
      </c>
      <c r="BO52" s="12">
        <v>12.15652</v>
      </c>
      <c r="BP52" s="12">
        <v>0</v>
      </c>
      <c r="BQ52" s="12">
        <v>0</v>
      </c>
      <c r="BR52" s="12">
        <v>0</v>
      </c>
      <c r="BS52" s="12">
        <v>0</v>
      </c>
      <c r="BT52" s="12">
        <v>0</v>
      </c>
      <c r="BU52" s="12">
        <v>0</v>
      </c>
      <c r="BV52" s="12">
        <v>0</v>
      </c>
      <c r="BW52" s="12">
        <v>0</v>
      </c>
      <c r="BX52" s="12">
        <v>0</v>
      </c>
      <c r="BY52" s="12">
        <v>0</v>
      </c>
      <c r="BZ52" s="12">
        <v>0</v>
      </c>
      <c r="CA52" s="12">
        <v>0</v>
      </c>
      <c r="CB52" s="12">
        <v>0</v>
      </c>
      <c r="CC52" s="12">
        <v>0</v>
      </c>
      <c r="CD52" s="12">
        <v>0</v>
      </c>
      <c r="CE52" s="12">
        <v>0</v>
      </c>
      <c r="CF52" s="12">
        <v>0</v>
      </c>
      <c r="CG52" s="12">
        <v>0</v>
      </c>
      <c r="CH52" s="11">
        <v>0</v>
      </c>
      <c r="CI52" s="11">
        <v>0</v>
      </c>
      <c r="CJ52" s="11">
        <v>0</v>
      </c>
      <c r="CK52" s="11">
        <v>0</v>
      </c>
      <c r="CL52" s="11">
        <v>0</v>
      </c>
      <c r="CM52" s="11">
        <v>0</v>
      </c>
      <c r="CN52" s="11">
        <v>0</v>
      </c>
      <c r="CO52" s="29">
        <v>0</v>
      </c>
      <c r="CP52" s="29">
        <v>0</v>
      </c>
      <c r="CQ52" s="29">
        <v>0</v>
      </c>
      <c r="CR52" s="29">
        <v>0</v>
      </c>
      <c r="CS52" s="11">
        <v>0</v>
      </c>
      <c r="CT52" s="30">
        <v>16</v>
      </c>
      <c r="CU52" s="30">
        <v>70</v>
      </c>
      <c r="CV52" s="12">
        <v>0</v>
      </c>
      <c r="CW52" s="12">
        <v>0</v>
      </c>
      <c r="CX52" s="11">
        <v>0</v>
      </c>
      <c r="CY52" s="11">
        <v>0</v>
      </c>
      <c r="CZ52" s="11">
        <v>0</v>
      </c>
      <c r="DA52" s="11">
        <v>0</v>
      </c>
      <c r="DB52" s="11">
        <v>0</v>
      </c>
      <c r="DC52" s="11">
        <v>0</v>
      </c>
      <c r="DD52" s="11">
        <v>0</v>
      </c>
      <c r="DG52" s="11">
        <v>180.77500000000001</v>
      </c>
      <c r="DH52" s="11">
        <v>353.35899999999998</v>
      </c>
      <c r="DI52" s="12">
        <v>108787.11285758173</v>
      </c>
      <c r="DJ52" s="12">
        <v>67454</v>
      </c>
      <c r="DK52" s="12">
        <v>29468</v>
      </c>
      <c r="DL52" s="12">
        <v>167997</v>
      </c>
      <c r="DM52" s="12">
        <v>271770</v>
      </c>
      <c r="DN52" s="12">
        <v>429850</v>
      </c>
      <c r="DO52" s="12">
        <v>417926</v>
      </c>
      <c r="DP52" s="12">
        <v>506928</v>
      </c>
      <c r="DQ52" s="12">
        <v>756819</v>
      </c>
      <c r="DR52" s="12">
        <v>1407165</v>
      </c>
      <c r="DS52" s="12">
        <v>1573810</v>
      </c>
      <c r="DT52" s="12">
        <v>1702298</v>
      </c>
      <c r="DU52" s="12">
        <v>2174062</v>
      </c>
      <c r="DV52" s="12">
        <v>2676919</v>
      </c>
      <c r="DW52" s="12">
        <v>3129383</v>
      </c>
      <c r="DX52" s="12">
        <v>3307084</v>
      </c>
      <c r="DY52" s="12">
        <v>3618303</v>
      </c>
      <c r="DZ52" s="12">
        <v>4027947</v>
      </c>
      <c r="EE52" s="11">
        <f t="shared" si="1"/>
        <v>1</v>
      </c>
      <c r="EF52" s="11">
        <v>0</v>
      </c>
      <c r="EG52" s="11">
        <v>0</v>
      </c>
      <c r="EH52" s="11">
        <v>0</v>
      </c>
      <c r="EI52" s="11">
        <v>1</v>
      </c>
      <c r="EJ52" s="11">
        <v>0</v>
      </c>
      <c r="EK52" s="11">
        <v>1</v>
      </c>
      <c r="EL52" s="11">
        <v>0</v>
      </c>
      <c r="EM52" s="11">
        <v>0</v>
      </c>
      <c r="EN52" s="11">
        <v>0</v>
      </c>
      <c r="EO52" s="11">
        <v>0</v>
      </c>
      <c r="EP52" s="11">
        <v>0</v>
      </c>
      <c r="EQ52" s="11">
        <v>0.34501445086705201</v>
      </c>
      <c r="ER52" s="11">
        <v>0.30979046242774566</v>
      </c>
      <c r="ES52" s="11">
        <v>0.16058526011560695</v>
      </c>
      <c r="ET52" s="11">
        <v>4.8049132947976879E-2</v>
      </c>
      <c r="EV52" s="11">
        <v>2.9353616000000002</v>
      </c>
    </row>
    <row r="53" spans="1:152" x14ac:dyDescent="0.2">
      <c r="A53" s="11">
        <v>38</v>
      </c>
      <c r="B53" s="11">
        <v>51</v>
      </c>
      <c r="C53" s="13" t="s">
        <v>38</v>
      </c>
      <c r="D53" s="12">
        <v>0</v>
      </c>
      <c r="E53" s="12">
        <v>3782.3286567739451</v>
      </c>
      <c r="F53" s="12">
        <v>3984.8262092888804</v>
      </c>
      <c r="G53" s="12">
        <v>3756</v>
      </c>
      <c r="H53" s="12">
        <v>3075</v>
      </c>
      <c r="I53" s="12">
        <v>3169</v>
      </c>
      <c r="J53" s="12">
        <v>3415</v>
      </c>
      <c r="K53" s="14">
        <v>3679</v>
      </c>
      <c r="L53" s="14">
        <v>4177.7025561580167</v>
      </c>
      <c r="M53" s="12">
        <v>3895.5793958171957</v>
      </c>
      <c r="N53" s="27">
        <v>1.7000000000000001E-2</v>
      </c>
      <c r="O53" s="11">
        <f t="shared" si="0"/>
        <v>1</v>
      </c>
      <c r="P53" s="11">
        <v>0</v>
      </c>
      <c r="Q53" s="11">
        <v>0</v>
      </c>
      <c r="R53" s="11">
        <v>0</v>
      </c>
      <c r="S53" s="11">
        <v>0</v>
      </c>
      <c r="T53" s="11">
        <v>0</v>
      </c>
      <c r="U53" s="11">
        <v>1</v>
      </c>
      <c r="V53" s="11">
        <v>0</v>
      </c>
      <c r="W53" s="11">
        <v>0</v>
      </c>
      <c r="X53" s="11">
        <v>40</v>
      </c>
      <c r="Y53" s="11">
        <v>0</v>
      </c>
      <c r="Z53" s="11">
        <v>0</v>
      </c>
      <c r="AA53" s="11">
        <v>584</v>
      </c>
      <c r="AB53" s="11">
        <v>143</v>
      </c>
      <c r="AC53" s="28"/>
      <c r="AD53" s="28"/>
      <c r="AE53" s="28">
        <f>10+10/60</f>
        <v>10.166666666666666</v>
      </c>
      <c r="AF53" s="28">
        <f>2+40/60</f>
        <v>2.6666666666666665</v>
      </c>
      <c r="AI53" s="11">
        <v>379</v>
      </c>
      <c r="AJ53" s="11">
        <v>99</v>
      </c>
      <c r="AM53" s="11">
        <v>444</v>
      </c>
      <c r="AN53" s="11">
        <v>104</v>
      </c>
      <c r="AO53" s="12">
        <f>0</f>
        <v>0</v>
      </c>
      <c r="AP53" s="12">
        <f>0</f>
        <v>0</v>
      </c>
      <c r="AQ53" s="12">
        <f>0</f>
        <v>0</v>
      </c>
      <c r="AR53" s="12">
        <f>0</f>
        <v>0</v>
      </c>
      <c r="AS53" s="12">
        <v>0</v>
      </c>
      <c r="AT53" s="12">
        <v>0</v>
      </c>
      <c r="AU53" s="12">
        <v>0</v>
      </c>
      <c r="AV53" s="12">
        <v>0</v>
      </c>
      <c r="AW53" s="12">
        <v>0</v>
      </c>
      <c r="AX53" s="12">
        <v>0</v>
      </c>
      <c r="AY53" s="12">
        <v>0</v>
      </c>
      <c r="AZ53" s="12">
        <v>0</v>
      </c>
      <c r="BA53" s="12">
        <v>0</v>
      </c>
      <c r="BB53" s="12">
        <v>0</v>
      </c>
      <c r="BC53" s="12">
        <v>0</v>
      </c>
      <c r="BD53" s="12">
        <v>0</v>
      </c>
      <c r="BE53" s="12">
        <v>0</v>
      </c>
      <c r="BF53" s="12">
        <v>0</v>
      </c>
      <c r="BG53" s="12">
        <v>0</v>
      </c>
      <c r="BH53" s="12">
        <v>0</v>
      </c>
      <c r="BI53" s="12">
        <v>0</v>
      </c>
      <c r="BJ53" s="12">
        <v>0</v>
      </c>
      <c r="BK53" s="12">
        <v>0</v>
      </c>
      <c r="BL53" s="12">
        <v>1941.855</v>
      </c>
      <c r="BM53" s="12">
        <v>2170.8739999999998</v>
      </c>
      <c r="BN53" s="12">
        <v>22.897780000000001</v>
      </c>
      <c r="BO53" s="12">
        <v>13.70543</v>
      </c>
      <c r="BP53" s="12">
        <v>374</v>
      </c>
      <c r="BQ53" s="12">
        <v>360</v>
      </c>
      <c r="BR53" s="12">
        <v>1</v>
      </c>
      <c r="BS53" s="12">
        <v>1</v>
      </c>
      <c r="BT53" s="12">
        <v>0</v>
      </c>
      <c r="BU53" s="12">
        <v>0</v>
      </c>
      <c r="BV53" s="12">
        <v>0</v>
      </c>
      <c r="BW53" s="12">
        <v>0</v>
      </c>
      <c r="BX53" s="12">
        <v>0</v>
      </c>
      <c r="BY53" s="12">
        <v>0</v>
      </c>
      <c r="BZ53" s="12">
        <v>0</v>
      </c>
      <c r="CA53" s="12">
        <v>0</v>
      </c>
      <c r="CB53" s="12">
        <v>0</v>
      </c>
      <c r="CC53" s="12">
        <v>0</v>
      </c>
      <c r="CD53" s="12">
        <v>0</v>
      </c>
      <c r="CE53" s="12">
        <v>0</v>
      </c>
      <c r="CF53" s="12">
        <v>0</v>
      </c>
      <c r="CG53" s="12">
        <v>0</v>
      </c>
      <c r="CH53" s="11">
        <v>0</v>
      </c>
      <c r="CI53" s="11">
        <v>0</v>
      </c>
      <c r="CJ53" s="11">
        <v>0</v>
      </c>
      <c r="CK53" s="11">
        <v>0</v>
      </c>
      <c r="CL53" s="11">
        <v>0</v>
      </c>
      <c r="CM53" s="11">
        <v>0</v>
      </c>
      <c r="CN53" s="11">
        <v>0</v>
      </c>
      <c r="CO53" s="29">
        <v>0</v>
      </c>
      <c r="CP53" s="29">
        <v>0</v>
      </c>
      <c r="CQ53" s="29">
        <v>0</v>
      </c>
      <c r="CR53" s="29">
        <v>0</v>
      </c>
      <c r="CS53" s="11">
        <v>1</v>
      </c>
      <c r="CT53" s="30">
        <v>36</v>
      </c>
      <c r="CU53" s="30">
        <v>47.333333333333336</v>
      </c>
      <c r="CV53" s="12">
        <v>0</v>
      </c>
      <c r="CW53" s="12">
        <v>0</v>
      </c>
      <c r="CX53" s="11">
        <v>0</v>
      </c>
      <c r="CY53" s="11">
        <v>0</v>
      </c>
      <c r="CZ53" s="11">
        <v>0</v>
      </c>
      <c r="DA53" s="11">
        <v>0</v>
      </c>
      <c r="DB53" s="11">
        <v>0</v>
      </c>
      <c r="DC53" s="11">
        <v>0</v>
      </c>
      <c r="DD53" s="11">
        <v>0</v>
      </c>
      <c r="DG53" s="11">
        <v>113.113</v>
      </c>
      <c r="DH53" s="11">
        <v>442.07</v>
      </c>
      <c r="DI53" s="12">
        <v>108787.11285758173</v>
      </c>
      <c r="DJ53" s="12">
        <v>67454</v>
      </c>
      <c r="DK53" s="12">
        <v>29468</v>
      </c>
      <c r="DL53" s="12">
        <v>167997</v>
      </c>
      <c r="DM53" s="12">
        <v>271770</v>
      </c>
      <c r="DN53" s="12">
        <v>429850</v>
      </c>
      <c r="DO53" s="12">
        <v>417926</v>
      </c>
      <c r="DP53" s="12">
        <v>506928</v>
      </c>
      <c r="DQ53" s="12">
        <v>756819</v>
      </c>
      <c r="DR53" s="12">
        <v>1407165</v>
      </c>
      <c r="DS53" s="12">
        <v>1573810</v>
      </c>
      <c r="DT53" s="12">
        <v>1702298</v>
      </c>
      <c r="DU53" s="12">
        <v>2174062</v>
      </c>
      <c r="DV53" s="12">
        <v>2676919</v>
      </c>
      <c r="DW53" s="12">
        <v>3129383</v>
      </c>
      <c r="DX53" s="12">
        <v>3307084</v>
      </c>
      <c r="DY53" s="12">
        <v>3618303</v>
      </c>
      <c r="DZ53" s="12">
        <v>4027947</v>
      </c>
      <c r="EA53" s="11">
        <v>139.3125</v>
      </c>
      <c r="EB53" s="11">
        <v>392.26249999999999</v>
      </c>
      <c r="EE53" s="11">
        <f t="shared" si="1"/>
        <v>0</v>
      </c>
      <c r="EF53" s="11">
        <v>0</v>
      </c>
      <c r="EG53" s="11">
        <v>0</v>
      </c>
      <c r="EH53" s="11">
        <v>0</v>
      </c>
      <c r="EI53" s="11">
        <v>1</v>
      </c>
      <c r="EJ53" s="11">
        <v>0</v>
      </c>
      <c r="EK53" s="11">
        <v>0</v>
      </c>
      <c r="EL53" s="11">
        <v>0</v>
      </c>
      <c r="EM53" s="11">
        <v>0</v>
      </c>
      <c r="EN53" s="11">
        <v>1</v>
      </c>
      <c r="EO53" s="11">
        <v>0</v>
      </c>
      <c r="EP53" s="11">
        <v>0</v>
      </c>
      <c r="EQ53" s="11">
        <v>0.35340372949898902</v>
      </c>
      <c r="ER53" s="11">
        <v>0.32105144911255895</v>
      </c>
      <c r="ES53" s="11">
        <v>0.16018872163558751</v>
      </c>
      <c r="ET53" s="11">
        <v>5.0101100876207595E-2</v>
      </c>
      <c r="EU53" s="11">
        <v>13.609772883688919</v>
      </c>
      <c r="EV53" s="11">
        <v>1.8976999000000001</v>
      </c>
    </row>
    <row r="54" spans="1:152" x14ac:dyDescent="0.2">
      <c r="A54" s="11">
        <v>48</v>
      </c>
      <c r="B54" s="11">
        <v>52</v>
      </c>
      <c r="C54" s="11" t="s">
        <v>50</v>
      </c>
      <c r="D54" s="12">
        <v>1359</v>
      </c>
      <c r="E54" s="12">
        <v>2206.0395523532115</v>
      </c>
      <c r="F54" s="12">
        <v>2318.1940824773874</v>
      </c>
      <c r="G54" s="12">
        <v>2351</v>
      </c>
      <c r="H54" s="12">
        <v>3107</v>
      </c>
      <c r="I54" s="12">
        <v>3300</v>
      </c>
      <c r="J54" s="12">
        <v>3378</v>
      </c>
      <c r="K54" s="14">
        <v>3250</v>
      </c>
      <c r="L54" s="12">
        <v>2961.253701875617</v>
      </c>
      <c r="M54" s="12">
        <v>2749.5064165844028</v>
      </c>
      <c r="N54" s="27">
        <v>1E-3</v>
      </c>
      <c r="O54" s="11">
        <f t="shared" si="0"/>
        <v>0</v>
      </c>
      <c r="P54" s="11">
        <v>0</v>
      </c>
      <c r="Q54" s="11">
        <v>0</v>
      </c>
      <c r="R54" s="11">
        <v>0</v>
      </c>
      <c r="S54" s="11">
        <v>1</v>
      </c>
      <c r="T54" s="11">
        <v>0</v>
      </c>
      <c r="U54" s="11">
        <v>0</v>
      </c>
      <c r="V54" s="11">
        <v>1</v>
      </c>
      <c r="W54" s="11">
        <v>0</v>
      </c>
      <c r="X54" s="11">
        <v>29</v>
      </c>
      <c r="Y54" s="11">
        <v>162</v>
      </c>
      <c r="Z54" s="11">
        <v>216</v>
      </c>
      <c r="AA54" s="11">
        <v>0</v>
      </c>
      <c r="AB54" s="11">
        <v>0</v>
      </c>
      <c r="AC54" s="28">
        <f>2+50/60</f>
        <v>2.8333333333333335</v>
      </c>
      <c r="AD54" s="28">
        <f>3+5/60</f>
        <v>3.0833333333333335</v>
      </c>
      <c r="AE54" s="28"/>
      <c r="AF54" s="28"/>
      <c r="AG54" s="11">
        <v>108</v>
      </c>
      <c r="AH54" s="11">
        <v>130</v>
      </c>
      <c r="AK54" s="11">
        <v>103</v>
      </c>
      <c r="AL54" s="11">
        <v>128</v>
      </c>
      <c r="AO54" s="12">
        <f>0</f>
        <v>0</v>
      </c>
      <c r="AP54" s="12">
        <f>0</f>
        <v>0</v>
      </c>
      <c r="AQ54" s="12">
        <f>0</f>
        <v>0</v>
      </c>
      <c r="AR54" s="12">
        <f>0</f>
        <v>0</v>
      </c>
      <c r="AS54" s="12">
        <v>0</v>
      </c>
      <c r="AT54" s="12">
        <v>0</v>
      </c>
      <c r="AU54" s="12">
        <v>0</v>
      </c>
      <c r="AV54" s="12">
        <v>0</v>
      </c>
      <c r="AW54" s="12">
        <v>0</v>
      </c>
      <c r="AX54" s="12">
        <v>0</v>
      </c>
      <c r="AY54" s="12">
        <v>0</v>
      </c>
      <c r="AZ54" s="12">
        <v>0</v>
      </c>
      <c r="BA54" s="12">
        <v>0</v>
      </c>
      <c r="BB54" s="12">
        <v>0</v>
      </c>
      <c r="BC54" s="12">
        <v>0</v>
      </c>
      <c r="BD54" s="12">
        <v>0</v>
      </c>
      <c r="BE54" s="12">
        <v>0</v>
      </c>
      <c r="BF54" s="12">
        <v>0</v>
      </c>
      <c r="BG54" s="12">
        <v>0</v>
      </c>
      <c r="BH54" s="12">
        <v>0</v>
      </c>
      <c r="BI54" s="12">
        <v>0</v>
      </c>
      <c r="BJ54" s="12">
        <v>0</v>
      </c>
      <c r="BK54" s="12">
        <v>0</v>
      </c>
      <c r="BL54" s="12">
        <v>1804.58</v>
      </c>
      <c r="BM54" s="12">
        <v>622.08450000000005</v>
      </c>
      <c r="BN54" s="12">
        <v>20.443370000000002</v>
      </c>
      <c r="BO54" s="12">
        <v>11.31575</v>
      </c>
      <c r="BP54" s="12">
        <v>209</v>
      </c>
      <c r="BQ54" s="12">
        <v>592</v>
      </c>
      <c r="BR54" s="12">
        <v>1</v>
      </c>
      <c r="BS54" s="12">
        <v>1</v>
      </c>
      <c r="BT54" s="12">
        <v>0</v>
      </c>
      <c r="BU54" s="12">
        <v>0</v>
      </c>
      <c r="BV54" s="12">
        <v>0</v>
      </c>
      <c r="BW54" s="12">
        <v>0</v>
      </c>
      <c r="BX54" s="12">
        <v>0</v>
      </c>
      <c r="BY54" s="12">
        <v>0</v>
      </c>
      <c r="BZ54" s="12">
        <v>0</v>
      </c>
      <c r="CA54" s="12">
        <v>0</v>
      </c>
      <c r="CB54" s="12">
        <v>0</v>
      </c>
      <c r="CC54" s="12">
        <v>0</v>
      </c>
      <c r="CD54" s="12">
        <v>0</v>
      </c>
      <c r="CE54" s="12">
        <v>0</v>
      </c>
      <c r="CF54" s="12">
        <v>0</v>
      </c>
      <c r="CG54" s="12">
        <v>0</v>
      </c>
      <c r="CH54" s="11">
        <v>0</v>
      </c>
      <c r="CI54" s="11">
        <v>0</v>
      </c>
      <c r="CJ54" s="11">
        <v>0</v>
      </c>
      <c r="CK54" s="11">
        <v>0</v>
      </c>
      <c r="CL54" s="11">
        <v>0</v>
      </c>
      <c r="CM54" s="11">
        <v>0</v>
      </c>
      <c r="CN54" s="11">
        <v>0</v>
      </c>
      <c r="CO54" s="29">
        <v>0</v>
      </c>
      <c r="CP54" s="29">
        <v>0</v>
      </c>
      <c r="CQ54" s="29">
        <v>0</v>
      </c>
      <c r="CR54" s="29">
        <v>0</v>
      </c>
      <c r="CS54" s="11">
        <v>1</v>
      </c>
      <c r="CT54" s="30">
        <v>70</v>
      </c>
      <c r="CU54" s="30">
        <v>11.333333333333334</v>
      </c>
      <c r="CV54" s="12">
        <v>0</v>
      </c>
      <c r="CW54" s="12">
        <v>0</v>
      </c>
      <c r="CX54" s="11">
        <v>0</v>
      </c>
      <c r="CY54" s="11">
        <v>0</v>
      </c>
      <c r="CZ54" s="11">
        <v>0</v>
      </c>
      <c r="DA54" s="11">
        <v>0</v>
      </c>
      <c r="DB54" s="11">
        <v>0</v>
      </c>
      <c r="DC54" s="11">
        <v>0</v>
      </c>
      <c r="DD54" s="11">
        <v>0</v>
      </c>
      <c r="DE54" s="11">
        <v>134.36500000000001</v>
      </c>
      <c r="DF54" s="11">
        <v>184.244</v>
      </c>
      <c r="DI54" s="12">
        <v>108787.11285758173</v>
      </c>
      <c r="DJ54" s="12">
        <v>67454</v>
      </c>
      <c r="DK54" s="12">
        <v>29468</v>
      </c>
      <c r="DL54" s="12">
        <v>167997</v>
      </c>
      <c r="DM54" s="12">
        <v>271770</v>
      </c>
      <c r="DN54" s="12">
        <v>429850</v>
      </c>
      <c r="DO54" s="12">
        <v>417926</v>
      </c>
      <c r="DP54" s="12">
        <v>506928</v>
      </c>
      <c r="DQ54" s="12">
        <v>756819</v>
      </c>
      <c r="DR54" s="12">
        <v>1407165</v>
      </c>
      <c r="DS54" s="12">
        <v>1573810</v>
      </c>
      <c r="DT54" s="12">
        <v>1702298</v>
      </c>
      <c r="DU54" s="12">
        <v>2174062</v>
      </c>
      <c r="DV54" s="12">
        <v>2676919</v>
      </c>
      <c r="DW54" s="12">
        <v>3129383</v>
      </c>
      <c r="DX54" s="12">
        <v>3307084</v>
      </c>
      <c r="DY54" s="12">
        <v>3618303</v>
      </c>
      <c r="DZ54" s="12">
        <v>4027947</v>
      </c>
      <c r="EC54" s="11">
        <v>122.45</v>
      </c>
      <c r="ED54" s="11">
        <v>107.21250000000001</v>
      </c>
      <c r="EE54" s="11">
        <f t="shared" si="1"/>
        <v>0</v>
      </c>
      <c r="EF54" s="11">
        <v>1</v>
      </c>
      <c r="EG54" s="11">
        <v>0</v>
      </c>
      <c r="EH54" s="11">
        <v>0</v>
      </c>
      <c r="EI54" s="11">
        <v>0</v>
      </c>
      <c r="EJ54" s="11">
        <v>0</v>
      </c>
      <c r="EK54" s="11">
        <v>0</v>
      </c>
      <c r="EL54" s="11">
        <v>0</v>
      </c>
      <c r="EM54" s="11">
        <v>1</v>
      </c>
      <c r="EN54" s="11">
        <v>0</v>
      </c>
      <c r="EO54" s="11">
        <v>0</v>
      </c>
      <c r="EP54" s="11">
        <v>0</v>
      </c>
      <c r="EQ54" s="11">
        <v>0.35275590551181102</v>
      </c>
      <c r="ER54" s="11">
        <v>0.31968503937007875</v>
      </c>
      <c r="ES54" s="11">
        <v>0.17532808398950131</v>
      </c>
      <c r="ET54" s="11">
        <v>5.5643044619422571E-2</v>
      </c>
      <c r="EU54" s="11">
        <v>0.53288172862931471</v>
      </c>
      <c r="EV54" s="11">
        <v>2.9381380000000004</v>
      </c>
    </row>
    <row r="55" spans="1:152" x14ac:dyDescent="0.2">
      <c r="A55" s="11">
        <v>52</v>
      </c>
      <c r="B55" s="11">
        <v>53</v>
      </c>
      <c r="C55" s="13" t="s">
        <v>54</v>
      </c>
      <c r="D55" s="12">
        <v>0</v>
      </c>
      <c r="E55" s="12">
        <v>1798.0943214629451</v>
      </c>
      <c r="F55" s="12">
        <v>2111.1645813282003</v>
      </c>
      <c r="G55" s="14">
        <v>2095</v>
      </c>
      <c r="H55" s="14">
        <v>2886</v>
      </c>
      <c r="I55" s="14">
        <v>3569</v>
      </c>
      <c r="J55" s="14">
        <v>3632</v>
      </c>
      <c r="K55" s="14">
        <v>3855</v>
      </c>
      <c r="L55" s="14">
        <v>3687</v>
      </c>
      <c r="M55" s="12">
        <v>3618</v>
      </c>
      <c r="N55" s="27">
        <v>2.9000000000000001E-2</v>
      </c>
      <c r="O55" s="11">
        <f t="shared" si="0"/>
        <v>1</v>
      </c>
      <c r="P55" s="11">
        <v>0</v>
      </c>
      <c r="Q55" s="11">
        <v>0</v>
      </c>
      <c r="R55" s="11">
        <v>0</v>
      </c>
      <c r="S55" s="11">
        <v>1</v>
      </c>
      <c r="T55" s="11">
        <v>0</v>
      </c>
      <c r="U55" s="11">
        <v>1</v>
      </c>
      <c r="V55" s="11">
        <v>0</v>
      </c>
      <c r="W55" s="11">
        <v>0</v>
      </c>
      <c r="X55" s="11">
        <v>44</v>
      </c>
      <c r="Y55" s="11">
        <v>0</v>
      </c>
      <c r="Z55" s="11">
        <v>0</v>
      </c>
      <c r="AA55" s="11">
        <v>246</v>
      </c>
      <c r="AB55" s="11">
        <v>495</v>
      </c>
      <c r="AC55" s="28"/>
      <c r="AD55" s="28"/>
      <c r="AE55" s="28">
        <f>4+50/60</f>
        <v>4.833333333333333</v>
      </c>
      <c r="AF55" s="28">
        <f>8+45/60</f>
        <v>8.75</v>
      </c>
      <c r="AI55" s="11">
        <v>167</v>
      </c>
      <c r="AJ55" s="11">
        <v>322</v>
      </c>
      <c r="AM55" s="11">
        <v>170</v>
      </c>
      <c r="AN55" s="11">
        <v>351</v>
      </c>
      <c r="AO55" s="12">
        <f>0</f>
        <v>0</v>
      </c>
      <c r="AP55" s="12">
        <f>0</f>
        <v>0</v>
      </c>
      <c r="AQ55" s="12">
        <f>0</f>
        <v>0</v>
      </c>
      <c r="AR55" s="12">
        <f>0</f>
        <v>0</v>
      </c>
      <c r="AS55" s="14">
        <v>0</v>
      </c>
      <c r="AT55" s="14">
        <v>0</v>
      </c>
      <c r="AU55" s="14">
        <v>0</v>
      </c>
      <c r="AV55" s="14">
        <v>0</v>
      </c>
      <c r="AW55" s="14">
        <v>0</v>
      </c>
      <c r="AX55" s="12">
        <v>0</v>
      </c>
      <c r="AY55" s="12">
        <v>0</v>
      </c>
      <c r="AZ55" s="12">
        <v>0</v>
      </c>
      <c r="BA55" s="12">
        <v>0</v>
      </c>
      <c r="BB55" s="12">
        <v>0</v>
      </c>
      <c r="BC55" s="12">
        <v>0</v>
      </c>
      <c r="BD55" s="12">
        <v>0</v>
      </c>
      <c r="BE55" s="12">
        <v>0</v>
      </c>
      <c r="BF55" s="12">
        <v>0</v>
      </c>
      <c r="BG55" s="12">
        <v>0</v>
      </c>
      <c r="BH55" s="12">
        <v>0</v>
      </c>
      <c r="BI55" s="12">
        <v>0</v>
      </c>
      <c r="BJ55" s="12">
        <v>0</v>
      </c>
      <c r="BK55" s="12">
        <v>0</v>
      </c>
      <c r="BL55" s="12">
        <v>1976.5619047619052</v>
      </c>
      <c r="BM55" s="12">
        <v>828.42859999999996</v>
      </c>
      <c r="BN55" s="12">
        <v>23.299320000000002</v>
      </c>
      <c r="BO55" s="12">
        <v>12.49527</v>
      </c>
      <c r="BP55" s="12">
        <v>0</v>
      </c>
      <c r="BQ55" s="12">
        <v>0</v>
      </c>
      <c r="BR55" s="12">
        <v>0</v>
      </c>
      <c r="BS55" s="12">
        <v>0</v>
      </c>
      <c r="BT55" s="12">
        <v>0</v>
      </c>
      <c r="BU55" s="12">
        <v>0</v>
      </c>
      <c r="BV55" s="12">
        <v>0</v>
      </c>
      <c r="BW55" s="12">
        <v>0</v>
      </c>
      <c r="BX55" s="12">
        <v>0</v>
      </c>
      <c r="BY55" s="12">
        <v>0</v>
      </c>
      <c r="BZ55" s="12">
        <v>0</v>
      </c>
      <c r="CA55" s="12">
        <v>0</v>
      </c>
      <c r="CB55" s="12">
        <v>0</v>
      </c>
      <c r="CC55" s="12">
        <v>0</v>
      </c>
      <c r="CD55" s="12">
        <v>0</v>
      </c>
      <c r="CE55" s="12">
        <v>0</v>
      </c>
      <c r="CF55" s="12">
        <v>0</v>
      </c>
      <c r="CG55" s="12">
        <v>0</v>
      </c>
      <c r="CH55" s="11">
        <v>0</v>
      </c>
      <c r="CI55" s="11">
        <v>0</v>
      </c>
      <c r="CJ55" s="11">
        <v>0</v>
      </c>
      <c r="CK55" s="11">
        <v>0</v>
      </c>
      <c r="CL55" s="11">
        <v>0</v>
      </c>
      <c r="CM55" s="11">
        <v>0</v>
      </c>
      <c r="CN55" s="11">
        <v>0</v>
      </c>
      <c r="CO55" s="29">
        <v>0</v>
      </c>
      <c r="CP55" s="29">
        <v>0</v>
      </c>
      <c r="CQ55" s="29">
        <v>0</v>
      </c>
      <c r="CR55" s="29">
        <v>0</v>
      </c>
      <c r="CS55" s="11">
        <v>1</v>
      </c>
      <c r="CT55" s="30">
        <v>59.333333333333336</v>
      </c>
      <c r="CU55" s="30">
        <v>24.333333333333332</v>
      </c>
      <c r="CV55" s="12">
        <v>0</v>
      </c>
      <c r="CW55" s="12">
        <v>0</v>
      </c>
      <c r="CX55" s="11">
        <v>0</v>
      </c>
      <c r="CY55" s="11">
        <v>0</v>
      </c>
      <c r="CZ55" s="11">
        <v>0</v>
      </c>
      <c r="DA55" s="11">
        <v>0</v>
      </c>
      <c r="DB55" s="11">
        <v>0</v>
      </c>
      <c r="DC55" s="11">
        <v>0</v>
      </c>
      <c r="DD55" s="11">
        <v>0</v>
      </c>
      <c r="DG55" s="11">
        <v>382.82100000000003</v>
      </c>
      <c r="DH55" s="11">
        <v>207.91499999999999</v>
      </c>
      <c r="DI55" s="12">
        <v>108787.11285758173</v>
      </c>
      <c r="DJ55" s="12">
        <v>67454</v>
      </c>
      <c r="DK55" s="12">
        <v>29468</v>
      </c>
      <c r="DL55" s="12">
        <v>167997</v>
      </c>
      <c r="DM55" s="12">
        <v>271770</v>
      </c>
      <c r="DN55" s="12">
        <v>429850</v>
      </c>
      <c r="DO55" s="12">
        <v>417926</v>
      </c>
      <c r="DP55" s="12">
        <v>506928</v>
      </c>
      <c r="DQ55" s="12">
        <v>756819</v>
      </c>
      <c r="DR55" s="12">
        <v>1407165</v>
      </c>
      <c r="DS55" s="12">
        <v>1573810</v>
      </c>
      <c r="DT55" s="12">
        <v>1702298</v>
      </c>
      <c r="DU55" s="12">
        <v>2174062</v>
      </c>
      <c r="DV55" s="12">
        <v>2676919</v>
      </c>
      <c r="DW55" s="12">
        <v>3129383</v>
      </c>
      <c r="DX55" s="12">
        <v>3307084</v>
      </c>
      <c r="DY55" s="12">
        <v>3618303</v>
      </c>
      <c r="DZ55" s="12">
        <v>4027947</v>
      </c>
      <c r="EA55" s="11">
        <v>407.58749999999998</v>
      </c>
      <c r="EB55" s="11">
        <v>165.16249999999999</v>
      </c>
      <c r="EE55" s="11">
        <f t="shared" si="1"/>
        <v>0</v>
      </c>
      <c r="EF55" s="11">
        <v>1</v>
      </c>
      <c r="EG55" s="11">
        <v>0</v>
      </c>
      <c r="EH55" s="11">
        <v>0</v>
      </c>
      <c r="EI55" s="11">
        <v>0</v>
      </c>
      <c r="EJ55" s="11">
        <v>0</v>
      </c>
      <c r="EK55" s="11">
        <v>0</v>
      </c>
      <c r="EL55" s="11">
        <v>1</v>
      </c>
      <c r="EM55" s="11">
        <v>0</v>
      </c>
      <c r="EN55" s="11">
        <v>0</v>
      </c>
      <c r="EO55" s="11">
        <v>0</v>
      </c>
      <c r="EP55" s="11">
        <v>0</v>
      </c>
      <c r="EQ55" s="11">
        <v>0.30373692077727954</v>
      </c>
      <c r="ER55" s="11">
        <v>0.34708520179372199</v>
      </c>
      <c r="ES55" s="11">
        <v>0.18295964125560538</v>
      </c>
      <c r="ET55" s="11">
        <v>7.3243647234678619E-2</v>
      </c>
      <c r="EU55" s="11">
        <v>13.32518337408313</v>
      </c>
      <c r="EV55" s="11">
        <v>2.8335740999999999</v>
      </c>
    </row>
    <row r="56" spans="1:152" x14ac:dyDescent="0.2">
      <c r="A56" s="11">
        <v>40</v>
      </c>
      <c r="B56" s="11">
        <v>54</v>
      </c>
      <c r="C56" s="11" t="s">
        <v>41</v>
      </c>
      <c r="D56" s="12">
        <v>0</v>
      </c>
      <c r="E56" s="12">
        <v>2285.4765067345293</v>
      </c>
      <c r="F56" s="12">
        <v>2660.7669294270995</v>
      </c>
      <c r="G56" s="12">
        <v>2857</v>
      </c>
      <c r="H56" s="12">
        <v>3796</v>
      </c>
      <c r="I56" s="12">
        <v>5100</v>
      </c>
      <c r="J56" s="12">
        <v>5466</v>
      </c>
      <c r="K56" s="14">
        <v>5094</v>
      </c>
      <c r="L56" s="14">
        <v>4758.1318681318689</v>
      </c>
      <c r="M56" s="12">
        <v>3940.2307692307695</v>
      </c>
      <c r="N56" s="27">
        <v>5.0999999999999997E-2</v>
      </c>
      <c r="O56" s="11">
        <f t="shared" si="0"/>
        <v>1</v>
      </c>
      <c r="P56" s="11">
        <v>0</v>
      </c>
      <c r="Q56" s="11">
        <v>0</v>
      </c>
      <c r="R56" s="11">
        <v>0</v>
      </c>
      <c r="S56" s="11">
        <v>0</v>
      </c>
      <c r="T56" s="11">
        <v>0</v>
      </c>
      <c r="U56" s="11">
        <v>1</v>
      </c>
      <c r="V56" s="11">
        <v>1</v>
      </c>
      <c r="W56" s="11">
        <v>1</v>
      </c>
      <c r="X56" s="11">
        <v>66</v>
      </c>
      <c r="Y56" s="11">
        <v>0</v>
      </c>
      <c r="Z56" s="11">
        <v>0</v>
      </c>
      <c r="AA56" s="11">
        <v>431</v>
      </c>
      <c r="AB56" s="11">
        <v>454</v>
      </c>
      <c r="AC56" s="28"/>
      <c r="AD56" s="28"/>
      <c r="AE56" s="28">
        <f>8+20/60</f>
        <v>8.3333333333333339</v>
      </c>
      <c r="AF56" s="28">
        <f>10+30/60</f>
        <v>10.5</v>
      </c>
      <c r="AI56" s="11">
        <v>291</v>
      </c>
      <c r="AJ56" s="11">
        <v>298</v>
      </c>
      <c r="AM56" s="11">
        <v>294</v>
      </c>
      <c r="AN56" s="11">
        <v>302</v>
      </c>
      <c r="AO56" s="12">
        <f>0</f>
        <v>0</v>
      </c>
      <c r="AP56" s="12">
        <f>0</f>
        <v>0</v>
      </c>
      <c r="AQ56" s="12">
        <f>0</f>
        <v>0</v>
      </c>
      <c r="AR56" s="12">
        <f>0</f>
        <v>0</v>
      </c>
      <c r="AS56" s="12">
        <v>0</v>
      </c>
      <c r="AT56" s="12">
        <v>0</v>
      </c>
      <c r="AU56" s="12">
        <v>0</v>
      </c>
      <c r="AV56" s="12">
        <v>0</v>
      </c>
      <c r="AW56" s="12">
        <v>0</v>
      </c>
      <c r="AX56" s="12">
        <v>0</v>
      </c>
      <c r="AY56" s="12">
        <v>0</v>
      </c>
      <c r="AZ56" s="12">
        <v>0</v>
      </c>
      <c r="BA56" s="12">
        <v>0</v>
      </c>
      <c r="BB56" s="12">
        <v>0</v>
      </c>
      <c r="BC56" s="12">
        <v>0</v>
      </c>
      <c r="BD56" s="12">
        <v>0</v>
      </c>
      <c r="BE56" s="12">
        <v>0</v>
      </c>
      <c r="BF56" s="12">
        <v>0</v>
      </c>
      <c r="BG56" s="12">
        <v>0</v>
      </c>
      <c r="BH56" s="12">
        <v>0</v>
      </c>
      <c r="BI56" s="12">
        <v>0</v>
      </c>
      <c r="BJ56" s="12">
        <v>0</v>
      </c>
      <c r="BK56" s="12">
        <v>0</v>
      </c>
      <c r="BL56" s="12">
        <v>2126.9740000000002</v>
      </c>
      <c r="BM56" s="12">
        <v>1252.249</v>
      </c>
      <c r="BN56" s="12">
        <v>24.04167</v>
      </c>
      <c r="BO56" s="12">
        <v>14.22564</v>
      </c>
      <c r="BP56" s="12">
        <v>372</v>
      </c>
      <c r="BQ56" s="12">
        <v>543</v>
      </c>
      <c r="BR56" s="12">
        <v>1</v>
      </c>
      <c r="BS56" s="12">
        <v>1</v>
      </c>
      <c r="BT56" s="12">
        <v>0</v>
      </c>
      <c r="BU56" s="12">
        <v>0</v>
      </c>
      <c r="BV56" s="12">
        <v>106</v>
      </c>
      <c r="BW56" s="12">
        <v>8136</v>
      </c>
      <c r="BX56" s="12">
        <v>90</v>
      </c>
      <c r="BY56" s="12">
        <v>3483</v>
      </c>
      <c r="BZ56" s="12">
        <v>0</v>
      </c>
      <c r="CA56" s="12">
        <v>0</v>
      </c>
      <c r="CB56" s="12">
        <v>0</v>
      </c>
      <c r="CC56" s="12">
        <v>0</v>
      </c>
      <c r="CD56" s="12">
        <v>0</v>
      </c>
      <c r="CE56" s="12">
        <v>0</v>
      </c>
      <c r="CF56" s="12">
        <v>0</v>
      </c>
      <c r="CG56" s="12">
        <v>0</v>
      </c>
      <c r="CH56" s="11">
        <v>0</v>
      </c>
      <c r="CI56" s="11">
        <v>0</v>
      </c>
      <c r="CJ56" s="11">
        <v>1</v>
      </c>
      <c r="CK56" s="11">
        <v>1</v>
      </c>
      <c r="CL56" s="11">
        <v>0</v>
      </c>
      <c r="CM56" s="11">
        <v>0</v>
      </c>
      <c r="CN56" s="11">
        <v>0</v>
      </c>
      <c r="CO56" s="29">
        <v>0</v>
      </c>
      <c r="CP56" s="29">
        <v>0</v>
      </c>
      <c r="CQ56" s="29">
        <v>0</v>
      </c>
      <c r="CR56" s="29">
        <v>0</v>
      </c>
      <c r="CS56" s="11">
        <v>1</v>
      </c>
      <c r="CT56" s="30">
        <v>59</v>
      </c>
      <c r="CU56" s="30">
        <v>50</v>
      </c>
      <c r="CV56" s="12">
        <v>0</v>
      </c>
      <c r="CW56" s="12">
        <v>0</v>
      </c>
      <c r="CX56" s="11">
        <v>0</v>
      </c>
      <c r="CY56" s="11">
        <v>0</v>
      </c>
      <c r="CZ56" s="11">
        <v>0</v>
      </c>
      <c r="DA56" s="11">
        <v>0</v>
      </c>
      <c r="DB56" s="11">
        <v>0</v>
      </c>
      <c r="DC56" s="11">
        <v>0</v>
      </c>
      <c r="DD56" s="11">
        <v>0</v>
      </c>
      <c r="DG56" s="11">
        <v>336.66300000000001</v>
      </c>
      <c r="DH56" s="11">
        <v>336.33</v>
      </c>
      <c r="DI56" s="12">
        <v>108787.11285758173</v>
      </c>
      <c r="DJ56" s="12">
        <v>67454</v>
      </c>
      <c r="DK56" s="12">
        <v>29468</v>
      </c>
      <c r="DL56" s="12">
        <v>167997</v>
      </c>
      <c r="DM56" s="12">
        <v>271770</v>
      </c>
      <c r="DN56" s="12">
        <v>429850</v>
      </c>
      <c r="DO56" s="12">
        <v>417926</v>
      </c>
      <c r="DP56" s="12">
        <v>506928</v>
      </c>
      <c r="DQ56" s="12">
        <v>756819</v>
      </c>
      <c r="DR56" s="12">
        <v>1407165</v>
      </c>
      <c r="DS56" s="12">
        <v>1573810</v>
      </c>
      <c r="DT56" s="12">
        <v>1702298</v>
      </c>
      <c r="DU56" s="12">
        <v>2174062</v>
      </c>
      <c r="DV56" s="12">
        <v>2676919</v>
      </c>
      <c r="DW56" s="12">
        <v>3129383</v>
      </c>
      <c r="DX56" s="12">
        <v>3307084</v>
      </c>
      <c r="DY56" s="12">
        <v>3618303</v>
      </c>
      <c r="DZ56" s="12">
        <v>4027947</v>
      </c>
      <c r="EE56" s="11">
        <f t="shared" si="1"/>
        <v>1</v>
      </c>
      <c r="EF56" s="11">
        <v>0</v>
      </c>
      <c r="EG56" s="11">
        <v>0</v>
      </c>
      <c r="EH56" s="11">
        <v>0</v>
      </c>
      <c r="EI56" s="11">
        <v>1</v>
      </c>
      <c r="EJ56" s="11">
        <v>0</v>
      </c>
      <c r="EK56" s="11">
        <v>0</v>
      </c>
      <c r="EL56" s="11">
        <v>1</v>
      </c>
      <c r="EM56" s="11">
        <v>0</v>
      </c>
      <c r="EN56" s="11">
        <v>0</v>
      </c>
      <c r="EO56" s="11">
        <v>0</v>
      </c>
      <c r="EP56" s="11">
        <v>0</v>
      </c>
      <c r="EQ56" s="11">
        <v>0.3437051220679751</v>
      </c>
      <c r="ER56" s="11">
        <v>0.30205840114887506</v>
      </c>
      <c r="ES56" s="11">
        <v>0.15031115366203926</v>
      </c>
      <c r="ET56" s="11">
        <v>4.1646720919100051E-2</v>
      </c>
      <c r="EU56" s="11">
        <v>69.47496947496947</v>
      </c>
      <c r="EV56" s="11">
        <v>1.7608901000000001</v>
      </c>
    </row>
    <row r="57" spans="1:152" x14ac:dyDescent="0.2">
      <c r="A57" s="11">
        <v>42</v>
      </c>
      <c r="B57" s="11">
        <v>55</v>
      </c>
      <c r="C57" s="13" t="s">
        <v>44</v>
      </c>
      <c r="D57" s="12">
        <v>0</v>
      </c>
      <c r="E57" s="12">
        <v>1750.0138415146573</v>
      </c>
      <c r="F57" s="12">
        <v>2011.2403974492067</v>
      </c>
      <c r="G57" s="12">
        <v>2295</v>
      </c>
      <c r="H57" s="12">
        <v>3675</v>
      </c>
      <c r="I57" s="12">
        <v>4790</v>
      </c>
      <c r="J57" s="12">
        <v>6036</v>
      </c>
      <c r="K57" s="14">
        <v>6482</v>
      </c>
      <c r="L57" s="12">
        <v>5940.593850390087</v>
      </c>
      <c r="M57" s="12">
        <v>5652.0422212023868</v>
      </c>
      <c r="N57" s="27">
        <v>0.02</v>
      </c>
      <c r="O57" s="11">
        <f t="shared" si="0"/>
        <v>1</v>
      </c>
      <c r="P57" s="11">
        <v>0</v>
      </c>
      <c r="Q57" s="11">
        <v>1</v>
      </c>
      <c r="R57" s="11">
        <v>0</v>
      </c>
      <c r="S57" s="11">
        <v>1</v>
      </c>
      <c r="T57" s="11">
        <v>0</v>
      </c>
      <c r="U57" s="11">
        <v>1</v>
      </c>
      <c r="V57" s="11">
        <v>1</v>
      </c>
      <c r="W57" s="11">
        <v>0</v>
      </c>
      <c r="X57" s="11">
        <v>10</v>
      </c>
      <c r="Y57" s="11">
        <v>0</v>
      </c>
      <c r="Z57" s="11">
        <v>0</v>
      </c>
      <c r="AA57" s="11">
        <v>355</v>
      </c>
      <c r="AB57" s="11">
        <v>349</v>
      </c>
      <c r="AC57" s="28"/>
      <c r="AD57" s="28"/>
      <c r="AE57" s="28">
        <f>6+45/60</f>
        <v>6.75</v>
      </c>
      <c r="AF57" s="28">
        <f>6+45/60</f>
        <v>6.75</v>
      </c>
      <c r="AI57" s="11">
        <v>230</v>
      </c>
      <c r="AJ57" s="11">
        <v>231</v>
      </c>
      <c r="AM57" s="11">
        <v>243</v>
      </c>
      <c r="AN57" s="11">
        <v>232</v>
      </c>
      <c r="AO57" s="12">
        <f>0</f>
        <v>0</v>
      </c>
      <c r="AP57" s="12">
        <f>0</f>
        <v>0</v>
      </c>
      <c r="AQ57" s="12">
        <f>0</f>
        <v>0</v>
      </c>
      <c r="AR57" s="12">
        <f>0</f>
        <v>0</v>
      </c>
      <c r="AS57" s="12">
        <v>0</v>
      </c>
      <c r="AT57" s="12">
        <v>0</v>
      </c>
      <c r="AU57" s="12">
        <v>0</v>
      </c>
      <c r="AV57" s="12">
        <v>0</v>
      </c>
      <c r="AW57" s="12">
        <v>0</v>
      </c>
      <c r="AX57" s="12">
        <v>0</v>
      </c>
      <c r="AY57" s="12">
        <v>0</v>
      </c>
      <c r="AZ57" s="12">
        <v>0</v>
      </c>
      <c r="BA57" s="12">
        <v>0</v>
      </c>
      <c r="BB57" s="12">
        <v>0</v>
      </c>
      <c r="BC57" s="12">
        <v>0</v>
      </c>
      <c r="BD57" s="12">
        <v>0</v>
      </c>
      <c r="BE57" s="12">
        <v>0</v>
      </c>
      <c r="BF57" s="12">
        <v>0</v>
      </c>
      <c r="BG57" s="12">
        <v>0</v>
      </c>
      <c r="BH57" s="12">
        <v>0</v>
      </c>
      <c r="BI57" s="12">
        <v>0</v>
      </c>
      <c r="BJ57" s="12">
        <v>0</v>
      </c>
      <c r="BK57" s="12">
        <v>0</v>
      </c>
      <c r="BL57" s="12">
        <v>2177.9290000000001</v>
      </c>
      <c r="BM57" s="12">
        <v>1403.34</v>
      </c>
      <c r="BN57" s="12">
        <v>20.987290000000002</v>
      </c>
      <c r="BO57" s="12">
        <v>13.97978</v>
      </c>
      <c r="BP57" s="12">
        <v>0</v>
      </c>
      <c r="BQ57" s="12">
        <v>0</v>
      </c>
      <c r="BR57" s="12">
        <v>0</v>
      </c>
      <c r="BS57" s="12">
        <v>0</v>
      </c>
      <c r="BT57" s="12">
        <v>0</v>
      </c>
      <c r="BU57" s="12">
        <v>0</v>
      </c>
      <c r="BV57" s="12">
        <v>0</v>
      </c>
      <c r="BW57" s="12">
        <v>0</v>
      </c>
      <c r="BX57" s="12">
        <v>0</v>
      </c>
      <c r="BY57" s="12">
        <v>0</v>
      </c>
      <c r="BZ57" s="12">
        <v>0</v>
      </c>
      <c r="CA57" s="12">
        <v>0</v>
      </c>
      <c r="CB57" s="12">
        <v>0</v>
      </c>
      <c r="CC57" s="12">
        <v>0</v>
      </c>
      <c r="CD57" s="12">
        <v>0</v>
      </c>
      <c r="CE57" s="12">
        <v>0</v>
      </c>
      <c r="CF57" s="12">
        <v>0</v>
      </c>
      <c r="CG57" s="12">
        <v>0</v>
      </c>
      <c r="CH57" s="11">
        <v>0</v>
      </c>
      <c r="CI57" s="11">
        <v>0</v>
      </c>
      <c r="CJ57" s="11">
        <v>0</v>
      </c>
      <c r="CK57" s="11">
        <v>0</v>
      </c>
      <c r="CL57" s="11">
        <v>0</v>
      </c>
      <c r="CM57" s="11">
        <v>0</v>
      </c>
      <c r="CN57" s="11">
        <v>0</v>
      </c>
      <c r="CO57" s="29">
        <v>0</v>
      </c>
      <c r="CP57" s="29">
        <v>0</v>
      </c>
      <c r="CQ57" s="29">
        <v>0</v>
      </c>
      <c r="CR57" s="29">
        <v>0</v>
      </c>
      <c r="CS57" s="11">
        <v>1</v>
      </c>
      <c r="CT57" s="30">
        <v>31</v>
      </c>
      <c r="CU57" s="30">
        <v>52.333333333333336</v>
      </c>
      <c r="CV57" s="12">
        <v>0</v>
      </c>
      <c r="CW57" s="12">
        <v>0</v>
      </c>
      <c r="CX57" s="11">
        <v>0</v>
      </c>
      <c r="CY57" s="11">
        <v>0</v>
      </c>
      <c r="CZ57" s="11">
        <v>0</v>
      </c>
      <c r="DA57" s="11">
        <v>0</v>
      </c>
      <c r="DB57" s="11">
        <v>0</v>
      </c>
      <c r="DC57" s="11">
        <v>0</v>
      </c>
      <c r="DD57" s="11">
        <v>0</v>
      </c>
      <c r="DG57" s="11">
        <v>243.35900000000001</v>
      </c>
      <c r="DH57" s="11">
        <v>257.87599999999998</v>
      </c>
      <c r="DI57" s="12">
        <v>108787.11285758173</v>
      </c>
      <c r="DJ57" s="12">
        <v>67454</v>
      </c>
      <c r="DK57" s="12">
        <v>29468</v>
      </c>
      <c r="DL57" s="12">
        <v>167997</v>
      </c>
      <c r="DM57" s="12">
        <v>271770</v>
      </c>
      <c r="DN57" s="12">
        <v>429850</v>
      </c>
      <c r="DO57" s="12">
        <v>417926</v>
      </c>
      <c r="DP57" s="12">
        <v>506928</v>
      </c>
      <c r="DQ57" s="12">
        <v>756819</v>
      </c>
      <c r="DR57" s="12">
        <v>1407165</v>
      </c>
      <c r="DS57" s="12">
        <v>1573810</v>
      </c>
      <c r="DT57" s="12">
        <v>1702298</v>
      </c>
      <c r="DU57" s="12">
        <v>2174062</v>
      </c>
      <c r="DV57" s="12">
        <v>2676919</v>
      </c>
      <c r="DW57" s="12">
        <v>3129383</v>
      </c>
      <c r="DX57" s="12">
        <v>3307084</v>
      </c>
      <c r="DY57" s="12">
        <v>3618303</v>
      </c>
      <c r="DZ57" s="12">
        <v>4027947</v>
      </c>
      <c r="EA57" s="11">
        <v>438.9375</v>
      </c>
      <c r="EB57" s="11">
        <v>248.8</v>
      </c>
      <c r="EE57" s="11">
        <f t="shared" si="1"/>
        <v>0</v>
      </c>
      <c r="EF57" s="11">
        <v>1</v>
      </c>
      <c r="EG57" s="11">
        <v>0</v>
      </c>
      <c r="EH57" s="11">
        <v>0</v>
      </c>
      <c r="EI57" s="11">
        <v>0</v>
      </c>
      <c r="EJ57" s="11">
        <v>0</v>
      </c>
      <c r="EK57" s="11">
        <v>0</v>
      </c>
      <c r="EL57" s="11">
        <v>1</v>
      </c>
      <c r="EM57" s="11">
        <v>0</v>
      </c>
      <c r="EN57" s="11">
        <v>0</v>
      </c>
      <c r="EO57" s="11">
        <v>0</v>
      </c>
      <c r="EP57" s="11">
        <v>0</v>
      </c>
      <c r="EQ57" s="11">
        <v>0.2656327338722983</v>
      </c>
      <c r="ER57" s="11">
        <v>0.32282901611395259</v>
      </c>
      <c r="ES57" s="11">
        <v>0.2014519056261343</v>
      </c>
      <c r="ET57" s="11">
        <v>9.442886212396194E-2</v>
      </c>
      <c r="EU57" s="11">
        <v>0.15053628551715487</v>
      </c>
      <c r="EV57" s="11">
        <v>2.6168981000000002</v>
      </c>
    </row>
    <row r="58" spans="1:152" x14ac:dyDescent="0.2">
      <c r="A58" s="11">
        <v>12</v>
      </c>
      <c r="B58" s="11">
        <v>56</v>
      </c>
      <c r="C58" s="11" t="s">
        <v>11</v>
      </c>
      <c r="D58" s="12">
        <v>7329</v>
      </c>
      <c r="E58" s="12">
        <v>26834.791011759229</v>
      </c>
      <c r="F58" s="12">
        <v>26490.755229557188</v>
      </c>
      <c r="G58" s="12">
        <v>26462</v>
      </c>
      <c r="H58" s="12">
        <v>32100</v>
      </c>
      <c r="I58" s="12">
        <v>38174</v>
      </c>
      <c r="J58" s="12">
        <v>39679</v>
      </c>
      <c r="K58" s="12">
        <v>40758</v>
      </c>
      <c r="L58" s="12">
        <v>41320</v>
      </c>
      <c r="M58" s="12">
        <v>38988</v>
      </c>
      <c r="N58" s="27">
        <v>2.5999999999999999E-2</v>
      </c>
      <c r="O58" s="11">
        <f t="shared" si="0"/>
        <v>0</v>
      </c>
      <c r="P58" s="11">
        <v>0</v>
      </c>
      <c r="Q58" s="11">
        <v>0</v>
      </c>
      <c r="R58" s="11">
        <v>0</v>
      </c>
      <c r="S58" s="11">
        <v>1</v>
      </c>
      <c r="T58" s="11">
        <v>1</v>
      </c>
      <c r="U58" s="11">
        <v>1</v>
      </c>
      <c r="V58" s="11">
        <v>1</v>
      </c>
      <c r="W58" s="11">
        <v>1</v>
      </c>
      <c r="X58" s="11">
        <v>0</v>
      </c>
      <c r="Y58" s="11">
        <v>0</v>
      </c>
      <c r="Z58" s="11">
        <v>0</v>
      </c>
      <c r="AA58" s="11">
        <v>190</v>
      </c>
      <c r="AB58" s="11">
        <v>457</v>
      </c>
      <c r="AC58" s="28"/>
      <c r="AD58" s="28"/>
      <c r="AE58" s="28">
        <f>3+25/60</f>
        <v>3.4166666666666665</v>
      </c>
      <c r="AF58" s="28">
        <f>8+40/60</f>
        <v>8.6666666666666661</v>
      </c>
      <c r="AI58" s="11">
        <v>126</v>
      </c>
      <c r="AJ58" s="11">
        <v>297</v>
      </c>
      <c r="AM58" s="11">
        <v>127</v>
      </c>
      <c r="AN58" s="11">
        <v>295</v>
      </c>
      <c r="AO58" s="12">
        <f>0</f>
        <v>0</v>
      </c>
      <c r="AP58" s="12">
        <f>0</f>
        <v>0</v>
      </c>
      <c r="AQ58" s="12">
        <f>0</f>
        <v>0</v>
      </c>
      <c r="AR58" s="12">
        <f>0</f>
        <v>0</v>
      </c>
      <c r="AS58" s="12">
        <v>0</v>
      </c>
      <c r="AT58" s="12">
        <v>0</v>
      </c>
      <c r="AU58" s="12">
        <v>1</v>
      </c>
      <c r="AV58" s="12">
        <v>1</v>
      </c>
      <c r="AW58" s="12">
        <v>0</v>
      </c>
      <c r="AX58" s="12">
        <v>0</v>
      </c>
      <c r="AY58" s="12">
        <v>0</v>
      </c>
      <c r="AZ58" s="12">
        <v>0</v>
      </c>
      <c r="BA58" s="12">
        <v>0</v>
      </c>
      <c r="BB58" s="12">
        <v>0</v>
      </c>
      <c r="BC58" s="12">
        <v>0</v>
      </c>
      <c r="BD58" s="12">
        <v>0</v>
      </c>
      <c r="BE58" s="12">
        <v>0</v>
      </c>
      <c r="BF58" s="12">
        <v>0</v>
      </c>
      <c r="BG58" s="12">
        <v>1</v>
      </c>
      <c r="BH58" s="12">
        <v>0</v>
      </c>
      <c r="BI58" s="12">
        <v>1</v>
      </c>
      <c r="BJ58" s="12">
        <v>1</v>
      </c>
      <c r="BK58" s="12">
        <v>1</v>
      </c>
      <c r="BL58" s="12">
        <v>2080.2620000000002</v>
      </c>
      <c r="BM58" s="12">
        <v>900.85230000000001</v>
      </c>
      <c r="BN58" s="12">
        <v>21.76491</v>
      </c>
      <c r="BO58" s="12">
        <v>13.42</v>
      </c>
      <c r="BP58" s="12">
        <v>944</v>
      </c>
      <c r="BQ58" s="12">
        <v>2060</v>
      </c>
      <c r="BR58" s="12">
        <v>1</v>
      </c>
      <c r="BS58" s="12">
        <v>1</v>
      </c>
      <c r="BT58" s="12">
        <v>250632</v>
      </c>
      <c r="BU58" s="12">
        <v>332382</v>
      </c>
      <c r="BV58" s="12">
        <v>547</v>
      </c>
      <c r="BW58" s="12">
        <v>301828</v>
      </c>
      <c r="BX58" s="12">
        <v>402</v>
      </c>
      <c r="BY58" s="12">
        <v>282309</v>
      </c>
      <c r="BZ58" s="12">
        <v>245</v>
      </c>
      <c r="CA58" s="12">
        <v>53162</v>
      </c>
      <c r="CB58" s="12">
        <v>322</v>
      </c>
      <c r="CC58" s="12">
        <v>87933</v>
      </c>
      <c r="CD58" s="12">
        <v>156</v>
      </c>
      <c r="CE58" s="12">
        <v>74635</v>
      </c>
      <c r="CF58" s="14" t="s">
        <v>398</v>
      </c>
      <c r="CG58" s="14" t="s">
        <v>398</v>
      </c>
      <c r="CH58" s="11">
        <v>1</v>
      </c>
      <c r="CI58" s="11">
        <v>1</v>
      </c>
      <c r="CJ58" s="11">
        <v>1</v>
      </c>
      <c r="CK58" s="11">
        <v>1</v>
      </c>
      <c r="CL58" s="11">
        <v>1</v>
      </c>
      <c r="CM58" s="11">
        <v>1</v>
      </c>
      <c r="CN58" s="11">
        <v>1</v>
      </c>
      <c r="CO58" s="29">
        <v>1</v>
      </c>
      <c r="CP58" s="29">
        <v>1</v>
      </c>
      <c r="CQ58" s="29">
        <v>1</v>
      </c>
      <c r="CR58" s="29">
        <v>1</v>
      </c>
      <c r="CS58" s="11">
        <v>1</v>
      </c>
      <c r="CT58" s="30">
        <v>41.333333333333336</v>
      </c>
      <c r="CU58" s="30">
        <v>38.333333333333336</v>
      </c>
      <c r="CV58" s="12">
        <v>0</v>
      </c>
      <c r="CW58" s="12">
        <v>0</v>
      </c>
      <c r="CX58" s="11">
        <v>0</v>
      </c>
      <c r="CY58" s="11">
        <v>0</v>
      </c>
      <c r="CZ58" s="11">
        <v>0</v>
      </c>
      <c r="DA58" s="11">
        <v>0</v>
      </c>
      <c r="DB58" s="11">
        <v>0</v>
      </c>
      <c r="DC58" s="11">
        <v>0</v>
      </c>
      <c r="DD58" s="11">
        <v>0</v>
      </c>
      <c r="DG58" s="11">
        <v>342.97399999999999</v>
      </c>
      <c r="DH58" s="11">
        <v>152.364</v>
      </c>
      <c r="DI58" s="12">
        <v>108787.11285758173</v>
      </c>
      <c r="DJ58" s="12">
        <v>67454</v>
      </c>
      <c r="DK58" s="12">
        <v>29468</v>
      </c>
      <c r="DL58" s="12">
        <v>167997</v>
      </c>
      <c r="DM58" s="12">
        <v>271770</v>
      </c>
      <c r="DN58" s="12">
        <v>429850</v>
      </c>
      <c r="DO58" s="12">
        <v>417926</v>
      </c>
      <c r="DP58" s="12">
        <v>506928</v>
      </c>
      <c r="DQ58" s="12">
        <v>756819</v>
      </c>
      <c r="DR58" s="12">
        <v>1407165</v>
      </c>
      <c r="DS58" s="12">
        <v>1573810</v>
      </c>
      <c r="DT58" s="12">
        <v>1702298</v>
      </c>
      <c r="DU58" s="12">
        <v>2174062</v>
      </c>
      <c r="DV58" s="12">
        <v>2676919</v>
      </c>
      <c r="DW58" s="12">
        <v>3129383</v>
      </c>
      <c r="DX58" s="12">
        <v>3307084</v>
      </c>
      <c r="DY58" s="12">
        <v>3618303</v>
      </c>
      <c r="DZ58" s="12">
        <v>4027947</v>
      </c>
      <c r="EA58" s="11">
        <v>342.1875</v>
      </c>
      <c r="EB58" s="11">
        <v>342.1875</v>
      </c>
      <c r="EE58" s="11">
        <f t="shared" si="1"/>
        <v>0</v>
      </c>
      <c r="EF58" s="11">
        <v>1</v>
      </c>
      <c r="EG58" s="11">
        <v>0</v>
      </c>
      <c r="EH58" s="11">
        <v>0</v>
      </c>
      <c r="EI58" s="11">
        <v>0</v>
      </c>
      <c r="EJ58" s="11">
        <v>0</v>
      </c>
      <c r="EK58" s="11">
        <v>0</v>
      </c>
      <c r="EL58" s="11">
        <v>1</v>
      </c>
      <c r="EM58" s="11">
        <v>0</v>
      </c>
      <c r="EN58" s="11">
        <v>0</v>
      </c>
      <c r="EO58" s="11">
        <v>0</v>
      </c>
      <c r="EP58" s="11">
        <v>0</v>
      </c>
      <c r="EQ58" s="11">
        <v>0.29229525862068967</v>
      </c>
      <c r="ER58" s="11">
        <v>0.31851652298850575</v>
      </c>
      <c r="ES58" s="11">
        <v>0.18265086206896552</v>
      </c>
      <c r="ET58" s="11">
        <v>8.0549568965517238E-2</v>
      </c>
      <c r="EU58" s="11">
        <v>19.543197616683216</v>
      </c>
      <c r="EV58" s="11">
        <v>1.9656497999999996</v>
      </c>
    </row>
    <row r="59" spans="1:152" x14ac:dyDescent="0.2">
      <c r="A59" s="11">
        <v>16</v>
      </c>
      <c r="B59" s="11">
        <v>57</v>
      </c>
      <c r="C59" s="11" t="s">
        <v>15</v>
      </c>
      <c r="D59" s="12">
        <v>49344</v>
      </c>
      <c r="E59" s="12">
        <v>122168.87465181058</v>
      </c>
      <c r="F59" s="12">
        <v>151015.3662952646</v>
      </c>
      <c r="G59" s="12">
        <v>173520</v>
      </c>
      <c r="H59" s="12">
        <v>224350</v>
      </c>
      <c r="I59" s="12">
        <v>282487</v>
      </c>
      <c r="J59" s="12">
        <v>327414</v>
      </c>
      <c r="K59" s="12">
        <v>325697</v>
      </c>
      <c r="L59" s="12">
        <v>335468</v>
      </c>
      <c r="M59" s="12">
        <v>360624</v>
      </c>
      <c r="N59" s="27">
        <v>7.0000000000000001E-3</v>
      </c>
      <c r="O59" s="11">
        <f t="shared" si="0"/>
        <v>0</v>
      </c>
      <c r="P59" s="11">
        <v>1</v>
      </c>
      <c r="Q59" s="11">
        <v>0</v>
      </c>
      <c r="R59" s="11">
        <v>1</v>
      </c>
      <c r="S59" s="11">
        <v>0</v>
      </c>
      <c r="T59" s="11">
        <v>1</v>
      </c>
      <c r="U59" s="11">
        <v>1</v>
      </c>
      <c r="V59" s="11">
        <v>1</v>
      </c>
      <c r="W59" s="11">
        <v>1</v>
      </c>
      <c r="X59" s="11">
        <v>0</v>
      </c>
      <c r="Y59" s="11">
        <v>0</v>
      </c>
      <c r="Z59" s="11">
        <v>0</v>
      </c>
      <c r="AA59" s="11">
        <v>0</v>
      </c>
      <c r="AB59" s="11">
        <v>652</v>
      </c>
      <c r="AC59" s="28"/>
      <c r="AD59" s="28"/>
      <c r="AE59" s="28">
        <v>0</v>
      </c>
      <c r="AF59" s="28">
        <f>10+35/60</f>
        <v>10.583333333333334</v>
      </c>
      <c r="AI59" s="11">
        <v>0</v>
      </c>
      <c r="AJ59" s="11">
        <v>426</v>
      </c>
      <c r="AM59" s="11">
        <v>0</v>
      </c>
      <c r="AN59" s="11">
        <v>433</v>
      </c>
      <c r="AO59" s="12">
        <f>0</f>
        <v>0</v>
      </c>
      <c r="AP59" s="12">
        <f>0</f>
        <v>0</v>
      </c>
      <c r="AQ59" s="12">
        <f>0</f>
        <v>0</v>
      </c>
      <c r="AR59" s="12">
        <f>0</f>
        <v>0</v>
      </c>
      <c r="AS59" s="12">
        <v>1</v>
      </c>
      <c r="AT59" s="12">
        <v>1</v>
      </c>
      <c r="AU59" s="12">
        <v>1</v>
      </c>
      <c r="AV59" s="12">
        <v>1</v>
      </c>
      <c r="AW59" s="12">
        <v>1</v>
      </c>
      <c r="AX59" s="12">
        <v>1</v>
      </c>
      <c r="AY59" s="12">
        <v>1</v>
      </c>
      <c r="AZ59" s="12">
        <v>1</v>
      </c>
      <c r="BA59" s="12">
        <v>1</v>
      </c>
      <c r="BB59" s="12">
        <v>1</v>
      </c>
      <c r="BC59" s="12">
        <v>1</v>
      </c>
      <c r="BD59" s="12">
        <v>1</v>
      </c>
      <c r="BE59" s="12">
        <v>1</v>
      </c>
      <c r="BF59" s="12">
        <v>1</v>
      </c>
      <c r="BG59" s="12">
        <v>1</v>
      </c>
      <c r="BH59" s="12">
        <v>1</v>
      </c>
      <c r="BI59" s="12">
        <v>1</v>
      </c>
      <c r="BJ59" s="12">
        <v>1</v>
      </c>
      <c r="BK59" s="12">
        <v>1</v>
      </c>
      <c r="BL59" s="12">
        <v>2057.6419999999998</v>
      </c>
      <c r="BM59" s="12">
        <v>1243.729</v>
      </c>
      <c r="BN59" s="12">
        <v>19.656410000000001</v>
      </c>
      <c r="BO59" s="12">
        <v>11.5588</v>
      </c>
      <c r="BP59" s="12">
        <v>4331</v>
      </c>
      <c r="BQ59" s="12">
        <v>5382</v>
      </c>
      <c r="BR59" s="12">
        <v>1</v>
      </c>
      <c r="BS59" s="12">
        <v>1</v>
      </c>
      <c r="BT59" s="12">
        <v>5044981</v>
      </c>
      <c r="BU59" s="12">
        <v>4497898</v>
      </c>
      <c r="BV59" s="12">
        <v>3043</v>
      </c>
      <c r="BW59" s="12">
        <v>3430594</v>
      </c>
      <c r="BX59" s="12">
        <v>2968</v>
      </c>
      <c r="BY59" s="12">
        <v>3907073</v>
      </c>
      <c r="BZ59" s="12">
        <v>2152</v>
      </c>
      <c r="CA59" s="12">
        <v>2740677</v>
      </c>
      <c r="CB59" s="12">
        <v>2442</v>
      </c>
      <c r="CC59" s="12">
        <v>3943264</v>
      </c>
      <c r="CD59" s="12">
        <v>2340</v>
      </c>
      <c r="CE59" s="12">
        <v>5112044</v>
      </c>
      <c r="CF59" s="12">
        <v>460</v>
      </c>
      <c r="CG59" s="12">
        <v>3033000</v>
      </c>
      <c r="CH59" s="11">
        <v>1</v>
      </c>
      <c r="CI59" s="11">
        <v>1</v>
      </c>
      <c r="CJ59" s="11">
        <v>1</v>
      </c>
      <c r="CK59" s="11">
        <v>1</v>
      </c>
      <c r="CL59" s="11">
        <v>1</v>
      </c>
      <c r="CM59" s="11">
        <v>1</v>
      </c>
      <c r="CN59" s="11">
        <v>1</v>
      </c>
      <c r="CO59" s="29">
        <v>1</v>
      </c>
      <c r="CP59" s="29">
        <v>1</v>
      </c>
      <c r="CQ59" s="29">
        <v>1</v>
      </c>
      <c r="CR59" s="29">
        <v>1</v>
      </c>
      <c r="CS59" s="11">
        <v>1</v>
      </c>
      <c r="CT59" s="30">
        <v>8.6666666666666661</v>
      </c>
      <c r="CU59" s="30">
        <v>27.666666666666668</v>
      </c>
      <c r="CV59" s="12">
        <v>0</v>
      </c>
      <c r="CW59" s="12">
        <v>0</v>
      </c>
      <c r="CX59" s="11">
        <v>0</v>
      </c>
      <c r="CY59" s="11">
        <v>0</v>
      </c>
      <c r="CZ59" s="11">
        <v>0</v>
      </c>
      <c r="DA59" s="11">
        <v>0</v>
      </c>
      <c r="DB59" s="11">
        <v>0</v>
      </c>
      <c r="DC59" s="11">
        <v>0</v>
      </c>
      <c r="DD59" s="11">
        <v>0</v>
      </c>
      <c r="DG59" s="11">
        <v>492.69400000000002</v>
      </c>
      <c r="DH59" s="11">
        <v>0</v>
      </c>
      <c r="DI59" s="12">
        <v>108787.11285758173</v>
      </c>
      <c r="DJ59" s="12">
        <v>67454</v>
      </c>
      <c r="DK59" s="12">
        <v>29468</v>
      </c>
      <c r="DL59" s="12">
        <v>167997</v>
      </c>
      <c r="DM59" s="12">
        <v>271770</v>
      </c>
      <c r="DN59" s="12">
        <v>429850</v>
      </c>
      <c r="DO59" s="12">
        <v>417926</v>
      </c>
      <c r="DP59" s="12">
        <v>506928</v>
      </c>
      <c r="DQ59" s="12">
        <v>756819</v>
      </c>
      <c r="DR59" s="12">
        <v>1407165</v>
      </c>
      <c r="DS59" s="12">
        <v>1573810</v>
      </c>
      <c r="DT59" s="12">
        <v>1702298</v>
      </c>
      <c r="DU59" s="12">
        <v>2174062</v>
      </c>
      <c r="DV59" s="12">
        <v>2676919</v>
      </c>
      <c r="DW59" s="12">
        <v>3129383</v>
      </c>
      <c r="DX59" s="12">
        <v>3307084</v>
      </c>
      <c r="DY59" s="12">
        <v>3618303</v>
      </c>
      <c r="DZ59" s="12">
        <v>4027947</v>
      </c>
      <c r="EA59" s="11">
        <v>428.71249999999998</v>
      </c>
      <c r="EB59" s="11">
        <v>0</v>
      </c>
      <c r="EE59" s="11">
        <f t="shared" si="1"/>
        <v>0</v>
      </c>
      <c r="EF59" s="11">
        <v>1</v>
      </c>
      <c r="EG59" s="11">
        <v>0</v>
      </c>
      <c r="EH59" s="11">
        <v>0</v>
      </c>
      <c r="EI59" s="11">
        <v>0</v>
      </c>
      <c r="EJ59" s="11">
        <v>0</v>
      </c>
      <c r="EK59" s="11">
        <v>0</v>
      </c>
      <c r="EL59" s="11">
        <v>0</v>
      </c>
      <c r="EM59" s="11">
        <v>0</v>
      </c>
      <c r="EN59" s="11">
        <v>0</v>
      </c>
      <c r="EO59" s="11">
        <v>1</v>
      </c>
      <c r="EP59" s="11">
        <v>0</v>
      </c>
      <c r="EQ59" s="11">
        <v>0.10458857224106761</v>
      </c>
      <c r="ER59" s="11">
        <v>0.34524994414088683</v>
      </c>
      <c r="ES59" s="11">
        <v>0.15270865917816009</v>
      </c>
      <c r="ET59" s="11">
        <v>0.32853283500233593</v>
      </c>
      <c r="EU59" s="11">
        <v>0.66060817895840607</v>
      </c>
      <c r="EV59" s="11">
        <v>2.7769998999999999</v>
      </c>
    </row>
    <row r="60" spans="1:152" x14ac:dyDescent="0.2">
      <c r="A60" s="11">
        <v>45</v>
      </c>
      <c r="B60" s="11">
        <v>58</v>
      </c>
      <c r="C60" s="11" t="s">
        <v>47</v>
      </c>
      <c r="D60" s="12">
        <v>2922</v>
      </c>
      <c r="E60" s="12">
        <v>3888.0472001456046</v>
      </c>
      <c r="F60" s="12">
        <v>4265.1857671540374</v>
      </c>
      <c r="G60" s="12">
        <v>4686</v>
      </c>
      <c r="H60" s="12">
        <v>5522</v>
      </c>
      <c r="I60" s="12">
        <v>5271</v>
      </c>
      <c r="J60" s="12">
        <v>4988</v>
      </c>
      <c r="K60" s="14">
        <v>4660</v>
      </c>
      <c r="L60" s="12">
        <v>4440.6740267286459</v>
      </c>
      <c r="M60" s="12">
        <v>4053.4689134224286</v>
      </c>
      <c r="N60" s="27">
        <v>6.0000000000000001E-3</v>
      </c>
      <c r="O60" s="11">
        <f t="shared" si="0"/>
        <v>0</v>
      </c>
      <c r="P60" s="11">
        <v>1</v>
      </c>
      <c r="Q60" s="11">
        <v>1</v>
      </c>
      <c r="R60" s="11">
        <v>0</v>
      </c>
      <c r="S60" s="11">
        <v>1</v>
      </c>
      <c r="T60" s="11">
        <v>1</v>
      </c>
      <c r="U60" s="11">
        <v>0</v>
      </c>
      <c r="V60" s="11">
        <v>0</v>
      </c>
      <c r="W60" s="11">
        <v>0</v>
      </c>
      <c r="X60" s="11">
        <v>0</v>
      </c>
      <c r="Y60" s="11">
        <v>660</v>
      </c>
      <c r="Z60" s="11">
        <v>330</v>
      </c>
      <c r="AA60" s="11">
        <v>0</v>
      </c>
      <c r="AB60" s="11">
        <v>0</v>
      </c>
      <c r="AC60" s="28">
        <f>12+40/60</f>
        <v>12.666666666666666</v>
      </c>
      <c r="AD60" s="28">
        <f>6+45/60</f>
        <v>6.75</v>
      </c>
      <c r="AE60" s="28"/>
      <c r="AF60" s="28"/>
      <c r="AG60" s="11">
        <v>441</v>
      </c>
      <c r="AH60" s="11">
        <v>215</v>
      </c>
      <c r="AK60" s="11">
        <v>401</v>
      </c>
      <c r="AL60" s="11">
        <v>224</v>
      </c>
      <c r="AO60" s="12">
        <f>0</f>
        <v>0</v>
      </c>
      <c r="AP60" s="12">
        <f>0</f>
        <v>0</v>
      </c>
      <c r="AQ60" s="12">
        <f>0</f>
        <v>0</v>
      </c>
      <c r="AR60" s="12">
        <f>0</f>
        <v>0</v>
      </c>
      <c r="AS60" s="12">
        <v>0</v>
      </c>
      <c r="AT60" s="12">
        <v>0</v>
      </c>
      <c r="AU60" s="12">
        <v>0</v>
      </c>
      <c r="AV60" s="12">
        <v>0</v>
      </c>
      <c r="AW60" s="12">
        <v>0</v>
      </c>
      <c r="AX60" s="12">
        <v>0</v>
      </c>
      <c r="AY60" s="12">
        <v>0</v>
      </c>
      <c r="AZ60" s="12">
        <v>0</v>
      </c>
      <c r="BA60" s="12">
        <v>0</v>
      </c>
      <c r="BB60" s="12">
        <v>0</v>
      </c>
      <c r="BC60" s="12">
        <v>0</v>
      </c>
      <c r="BD60" s="12">
        <v>0</v>
      </c>
      <c r="BE60" s="12">
        <v>0</v>
      </c>
      <c r="BF60" s="12">
        <v>0</v>
      </c>
      <c r="BG60" s="12">
        <v>0</v>
      </c>
      <c r="BH60" s="12">
        <v>0</v>
      </c>
      <c r="BI60" s="12">
        <v>1</v>
      </c>
      <c r="BJ60" s="12">
        <v>1</v>
      </c>
      <c r="BK60" s="12">
        <v>1</v>
      </c>
      <c r="BL60" s="12">
        <v>1901.1</v>
      </c>
      <c r="BM60" s="12">
        <v>2164.761</v>
      </c>
      <c r="BN60" s="12">
        <v>19.23602</v>
      </c>
      <c r="BO60" s="12">
        <v>12.51728</v>
      </c>
      <c r="BP60" s="12">
        <v>0</v>
      </c>
      <c r="BQ60" s="12">
        <v>366</v>
      </c>
      <c r="BR60" s="12">
        <v>0</v>
      </c>
      <c r="BS60" s="12">
        <v>1</v>
      </c>
      <c r="BT60" s="12">
        <v>1101444</v>
      </c>
      <c r="BU60" s="12">
        <v>857084</v>
      </c>
      <c r="BV60" s="12">
        <v>588</v>
      </c>
      <c r="BW60" s="12">
        <v>452470</v>
      </c>
      <c r="BX60" s="12">
        <v>385</v>
      </c>
      <c r="BY60" s="12">
        <v>255808</v>
      </c>
      <c r="BZ60" s="12">
        <v>272</v>
      </c>
      <c r="CA60" s="12">
        <v>188935</v>
      </c>
      <c r="CB60" s="12">
        <v>136</v>
      </c>
      <c r="CC60" s="12">
        <v>113805</v>
      </c>
      <c r="CD60" s="12">
        <v>166</v>
      </c>
      <c r="CE60" s="12">
        <v>128320</v>
      </c>
      <c r="CF60" s="12">
        <v>9</v>
      </c>
      <c r="CG60" s="12">
        <v>9000</v>
      </c>
      <c r="CH60" s="11">
        <v>1</v>
      </c>
      <c r="CI60" s="11">
        <v>1</v>
      </c>
      <c r="CJ60" s="11">
        <v>1</v>
      </c>
      <c r="CK60" s="11">
        <v>1</v>
      </c>
      <c r="CL60" s="11">
        <v>1</v>
      </c>
      <c r="CM60" s="11">
        <v>1</v>
      </c>
      <c r="CN60" s="11">
        <v>1</v>
      </c>
      <c r="CO60" s="29">
        <v>1</v>
      </c>
      <c r="CP60" s="29">
        <v>1</v>
      </c>
      <c r="CQ60" s="29">
        <v>1</v>
      </c>
      <c r="CR60" s="29">
        <v>1</v>
      </c>
      <c r="CS60" s="11">
        <v>1</v>
      </c>
      <c r="CT60" s="30">
        <v>56.333333333333336</v>
      </c>
      <c r="CU60" s="30">
        <v>31.333333333333332</v>
      </c>
      <c r="CV60" s="12">
        <v>0</v>
      </c>
      <c r="CW60" s="12">
        <v>0</v>
      </c>
      <c r="CX60" s="11">
        <v>0</v>
      </c>
      <c r="CY60" s="11">
        <v>0</v>
      </c>
      <c r="CZ60" s="11">
        <v>0</v>
      </c>
      <c r="DA60" s="11">
        <v>0</v>
      </c>
      <c r="DB60" s="11">
        <v>0</v>
      </c>
      <c r="DC60" s="11">
        <v>0</v>
      </c>
      <c r="DD60" s="11">
        <v>0</v>
      </c>
      <c r="DE60" s="11">
        <v>466.74</v>
      </c>
      <c r="DF60" s="11">
        <v>214.774</v>
      </c>
      <c r="DI60" s="12">
        <v>108787.11285758173</v>
      </c>
      <c r="DJ60" s="12">
        <v>67454</v>
      </c>
      <c r="DK60" s="12">
        <v>29468</v>
      </c>
      <c r="DL60" s="12">
        <v>167997</v>
      </c>
      <c r="DM60" s="12">
        <v>271770</v>
      </c>
      <c r="DN60" s="12">
        <v>429850</v>
      </c>
      <c r="DO60" s="12">
        <v>417926</v>
      </c>
      <c r="DP60" s="12">
        <v>506928</v>
      </c>
      <c r="DQ60" s="12">
        <v>756819</v>
      </c>
      <c r="DR60" s="12">
        <v>1407165</v>
      </c>
      <c r="DS60" s="12">
        <v>1573810</v>
      </c>
      <c r="DT60" s="12">
        <v>1702298</v>
      </c>
      <c r="DU60" s="12">
        <v>2174062</v>
      </c>
      <c r="DV60" s="12">
        <v>2676919</v>
      </c>
      <c r="DW60" s="12">
        <v>3129383</v>
      </c>
      <c r="DX60" s="12">
        <v>3307084</v>
      </c>
      <c r="DY60" s="12">
        <v>3618303</v>
      </c>
      <c r="DZ60" s="12">
        <v>4027947</v>
      </c>
      <c r="EE60" s="11">
        <f t="shared" si="1"/>
        <v>1</v>
      </c>
      <c r="EF60" s="11">
        <v>1</v>
      </c>
      <c r="EG60" s="11">
        <v>0</v>
      </c>
      <c r="EH60" s="11">
        <v>0</v>
      </c>
      <c r="EI60" s="11">
        <v>0</v>
      </c>
      <c r="EJ60" s="11">
        <v>0</v>
      </c>
      <c r="EK60" s="11">
        <v>0</v>
      </c>
      <c r="EL60" s="11">
        <v>0</v>
      </c>
      <c r="EM60" s="11">
        <v>1</v>
      </c>
      <c r="EN60" s="11">
        <v>0</v>
      </c>
      <c r="EO60" s="11">
        <v>0</v>
      </c>
      <c r="EP60" s="11">
        <v>0</v>
      </c>
      <c r="EQ60" s="11">
        <v>0.3505392912172573</v>
      </c>
      <c r="ER60" s="11">
        <v>0.31009244992295842</v>
      </c>
      <c r="ES60" s="11">
        <v>0.16371340523882896</v>
      </c>
      <c r="ET60" s="11">
        <v>5.2773497688751926E-2</v>
      </c>
      <c r="EU60" s="11">
        <v>1.2213770388958596</v>
      </c>
      <c r="EV60" s="11">
        <v>0.61598869999999994</v>
      </c>
    </row>
    <row r="61" spans="1:152" x14ac:dyDescent="0.2">
      <c r="A61" s="11">
        <v>25</v>
      </c>
      <c r="B61" s="11">
        <v>59</v>
      </c>
      <c r="C61" s="13" t="s">
        <v>24</v>
      </c>
      <c r="D61" s="12">
        <v>0</v>
      </c>
      <c r="E61" s="12">
        <v>1343.1998458277126</v>
      </c>
      <c r="F61" s="12">
        <v>1763.4585854692621</v>
      </c>
      <c r="G61" s="14">
        <v>2806</v>
      </c>
      <c r="H61" s="14">
        <v>5445</v>
      </c>
      <c r="I61" s="14">
        <v>8637</v>
      </c>
      <c r="J61" s="14">
        <v>11542</v>
      </c>
      <c r="K61" s="14">
        <v>15954</v>
      </c>
      <c r="L61" s="12">
        <v>16944.576716417909</v>
      </c>
      <c r="M61" s="12">
        <v>17554.1623880597</v>
      </c>
      <c r="N61" s="27">
        <v>1.7000000000000001E-2</v>
      </c>
      <c r="O61" s="11">
        <f t="shared" si="0"/>
        <v>1</v>
      </c>
      <c r="P61" s="11">
        <v>0</v>
      </c>
      <c r="Q61" s="11">
        <v>0</v>
      </c>
      <c r="R61" s="11">
        <v>0</v>
      </c>
      <c r="S61" s="11">
        <v>0</v>
      </c>
      <c r="T61" s="11">
        <v>0</v>
      </c>
      <c r="U61" s="11">
        <v>1</v>
      </c>
      <c r="V61" s="11">
        <v>1</v>
      </c>
      <c r="W61" s="11">
        <v>1</v>
      </c>
      <c r="X61" s="11">
        <v>64</v>
      </c>
      <c r="Y61" s="11">
        <v>0</v>
      </c>
      <c r="Z61" s="11">
        <v>0</v>
      </c>
      <c r="AA61" s="11">
        <v>539</v>
      </c>
      <c r="AB61" s="11">
        <v>295</v>
      </c>
      <c r="AC61" s="28"/>
      <c r="AD61" s="28"/>
      <c r="AE61" s="28">
        <f>9+50/60</f>
        <v>9.8333333333333339</v>
      </c>
      <c r="AF61" s="28">
        <f>5+40/60</f>
        <v>5.666666666666667</v>
      </c>
      <c r="AI61" s="11">
        <v>352</v>
      </c>
      <c r="AJ61" s="11">
        <v>199</v>
      </c>
      <c r="AM61" s="11">
        <v>404</v>
      </c>
      <c r="AN61" s="11">
        <v>208</v>
      </c>
      <c r="AO61" s="12">
        <f>0</f>
        <v>0</v>
      </c>
      <c r="AP61" s="12">
        <f>0</f>
        <v>0</v>
      </c>
      <c r="AQ61" s="12">
        <f>0</f>
        <v>0</v>
      </c>
      <c r="AR61" s="12">
        <f>0</f>
        <v>0</v>
      </c>
      <c r="AS61" s="14">
        <v>0</v>
      </c>
      <c r="AT61" s="14">
        <v>0</v>
      </c>
      <c r="AU61" s="14">
        <v>0</v>
      </c>
      <c r="AV61" s="12">
        <v>0</v>
      </c>
      <c r="AW61" s="12">
        <v>0</v>
      </c>
      <c r="AX61" s="12">
        <v>0</v>
      </c>
      <c r="AY61" s="12">
        <v>0</v>
      </c>
      <c r="AZ61" s="12">
        <v>0</v>
      </c>
      <c r="BA61" s="12">
        <v>0</v>
      </c>
      <c r="BB61" s="12">
        <v>0</v>
      </c>
      <c r="BC61" s="12">
        <v>0</v>
      </c>
      <c r="BD61" s="12">
        <v>0</v>
      </c>
      <c r="BE61" s="12">
        <v>0</v>
      </c>
      <c r="BF61" s="12">
        <v>0</v>
      </c>
      <c r="BG61" s="12">
        <v>0</v>
      </c>
      <c r="BH61" s="12">
        <v>0</v>
      </c>
      <c r="BI61" s="12">
        <v>0</v>
      </c>
      <c r="BJ61" s="12">
        <v>1</v>
      </c>
      <c r="BK61" s="12">
        <v>1</v>
      </c>
      <c r="BL61" s="12">
        <v>2334.3040000000001</v>
      </c>
      <c r="BM61" s="12">
        <v>1567.6310000000001</v>
      </c>
      <c r="BN61" s="12">
        <v>23.45345</v>
      </c>
      <c r="BO61" s="12">
        <v>14.66348</v>
      </c>
      <c r="BP61" s="12">
        <v>0</v>
      </c>
      <c r="BQ61" s="12">
        <v>295</v>
      </c>
      <c r="BR61" s="12">
        <v>0</v>
      </c>
      <c r="BS61" s="12">
        <v>1</v>
      </c>
      <c r="BT61" s="12">
        <v>0</v>
      </c>
      <c r="BU61" s="12">
        <v>0</v>
      </c>
      <c r="BV61" s="12">
        <v>108</v>
      </c>
      <c r="BW61" s="12">
        <v>7661</v>
      </c>
      <c r="BX61" s="12">
        <v>132</v>
      </c>
      <c r="BY61" s="12">
        <v>10644</v>
      </c>
      <c r="BZ61" s="12">
        <v>85</v>
      </c>
      <c r="CA61" s="12">
        <v>8833</v>
      </c>
      <c r="CB61" s="12">
        <v>73</v>
      </c>
      <c r="CC61" s="12">
        <v>7756</v>
      </c>
      <c r="CD61" s="12">
        <v>0</v>
      </c>
      <c r="CE61" s="12">
        <v>0</v>
      </c>
      <c r="CF61" s="12">
        <v>0</v>
      </c>
      <c r="CG61" s="12">
        <v>0</v>
      </c>
      <c r="CH61" s="11">
        <v>0</v>
      </c>
      <c r="CI61" s="11">
        <v>0</v>
      </c>
      <c r="CJ61" s="11">
        <v>1</v>
      </c>
      <c r="CK61" s="11">
        <v>1</v>
      </c>
      <c r="CL61" s="11">
        <v>1</v>
      </c>
      <c r="CM61" s="11">
        <v>1</v>
      </c>
      <c r="CN61" s="11">
        <v>0</v>
      </c>
      <c r="CO61" s="29">
        <v>0</v>
      </c>
      <c r="CP61" s="29">
        <v>0</v>
      </c>
      <c r="CQ61" s="29">
        <v>0</v>
      </c>
      <c r="CR61" s="29">
        <v>0</v>
      </c>
      <c r="CS61" s="11">
        <v>1</v>
      </c>
      <c r="CT61" s="30">
        <v>24</v>
      </c>
      <c r="CU61" s="30">
        <v>62.666666666666664</v>
      </c>
      <c r="CV61" s="12">
        <v>0</v>
      </c>
      <c r="CW61" s="12">
        <v>0</v>
      </c>
      <c r="CX61" s="11">
        <v>0</v>
      </c>
      <c r="CY61" s="11">
        <v>0</v>
      </c>
      <c r="CZ61" s="11">
        <v>0</v>
      </c>
      <c r="DA61" s="11">
        <v>0</v>
      </c>
      <c r="DB61" s="11">
        <v>0</v>
      </c>
      <c r="DC61" s="11">
        <v>0</v>
      </c>
      <c r="DD61" s="11">
        <v>0</v>
      </c>
      <c r="DG61" s="11">
        <v>232.23099999999999</v>
      </c>
      <c r="DH61" s="11">
        <v>416.017</v>
      </c>
      <c r="DI61" s="12">
        <v>108787.11285758173</v>
      </c>
      <c r="DJ61" s="12">
        <v>67454</v>
      </c>
      <c r="DK61" s="12">
        <v>29468</v>
      </c>
      <c r="DL61" s="12">
        <v>167997</v>
      </c>
      <c r="DM61" s="12">
        <v>271770</v>
      </c>
      <c r="DN61" s="12">
        <v>429850</v>
      </c>
      <c r="DO61" s="12">
        <v>417926</v>
      </c>
      <c r="DP61" s="12">
        <v>506928</v>
      </c>
      <c r="DQ61" s="12">
        <v>756819</v>
      </c>
      <c r="DR61" s="12">
        <v>1407165</v>
      </c>
      <c r="DS61" s="12">
        <v>1573810</v>
      </c>
      <c r="DT61" s="12">
        <v>1702298</v>
      </c>
      <c r="DU61" s="12">
        <v>2174062</v>
      </c>
      <c r="DV61" s="12">
        <v>2676919</v>
      </c>
      <c r="DW61" s="12">
        <v>3129383</v>
      </c>
      <c r="DX61" s="12">
        <v>3307084</v>
      </c>
      <c r="DY61" s="12">
        <v>3618303</v>
      </c>
      <c r="DZ61" s="12">
        <v>4027947</v>
      </c>
      <c r="EE61" s="11">
        <f t="shared" si="1"/>
        <v>1</v>
      </c>
      <c r="EF61" s="11">
        <v>0</v>
      </c>
      <c r="EG61" s="11">
        <v>0</v>
      </c>
      <c r="EH61" s="11">
        <v>0</v>
      </c>
      <c r="EI61" s="11">
        <v>1</v>
      </c>
      <c r="EJ61" s="11">
        <v>0</v>
      </c>
      <c r="EK61" s="11">
        <v>1</v>
      </c>
      <c r="EL61" s="11">
        <v>0</v>
      </c>
      <c r="EM61" s="11">
        <v>0</v>
      </c>
      <c r="EN61" s="11">
        <v>0</v>
      </c>
      <c r="EO61" s="11">
        <v>0</v>
      </c>
      <c r="EP61" s="11">
        <v>0</v>
      </c>
      <c r="EQ61" s="11">
        <v>0.27788531333172029</v>
      </c>
      <c r="ER61" s="11">
        <v>0.31659811275102828</v>
      </c>
      <c r="ES61" s="11">
        <v>0.18932978466005324</v>
      </c>
      <c r="ET61" s="11">
        <v>8.0691991289620124E-2</v>
      </c>
      <c r="EU61" s="11">
        <v>19.346289752650176</v>
      </c>
      <c r="EV61" s="11">
        <v>2.0927838000000003</v>
      </c>
    </row>
    <row r="62" spans="1:152" x14ac:dyDescent="0.2">
      <c r="A62" s="11">
        <v>1</v>
      </c>
      <c r="B62" s="11">
        <v>60</v>
      </c>
      <c r="C62" s="13" t="s">
        <v>0</v>
      </c>
      <c r="D62" s="12">
        <v>1429</v>
      </c>
      <c r="E62" s="12">
        <v>6384.8631353325563</v>
      </c>
      <c r="F62" s="12">
        <v>7287.6701474462889</v>
      </c>
      <c r="G62" s="12">
        <v>9289</v>
      </c>
      <c r="H62" s="12">
        <v>13363</v>
      </c>
      <c r="I62" s="12">
        <v>29503</v>
      </c>
      <c r="J62" s="12">
        <v>39069</v>
      </c>
      <c r="K62" s="12">
        <v>44043</v>
      </c>
      <c r="L62" s="12">
        <v>45785</v>
      </c>
      <c r="M62" s="12">
        <v>49080</v>
      </c>
      <c r="N62" s="27">
        <v>1.9E-2</v>
      </c>
      <c r="O62" s="11">
        <f t="shared" si="0"/>
        <v>0</v>
      </c>
      <c r="P62" s="11">
        <v>0</v>
      </c>
      <c r="Q62" s="11">
        <v>0</v>
      </c>
      <c r="R62" s="11">
        <v>0</v>
      </c>
      <c r="S62" s="11">
        <v>1</v>
      </c>
      <c r="T62" s="11">
        <v>0</v>
      </c>
      <c r="U62" s="11">
        <v>1</v>
      </c>
      <c r="V62" s="11">
        <v>1</v>
      </c>
      <c r="W62" s="11">
        <v>1</v>
      </c>
      <c r="X62" s="11">
        <v>75</v>
      </c>
      <c r="Y62" s="11">
        <v>0</v>
      </c>
      <c r="Z62" s="11">
        <v>0</v>
      </c>
      <c r="AA62" s="11">
        <v>818</v>
      </c>
      <c r="AB62" s="11">
        <v>166</v>
      </c>
      <c r="AC62" s="28"/>
      <c r="AD62" s="28"/>
      <c r="AE62" s="28">
        <f>14</f>
        <v>14</v>
      </c>
      <c r="AF62" s="28">
        <f>3+25/60</f>
        <v>3.4166666666666665</v>
      </c>
      <c r="AI62" s="11">
        <v>534</v>
      </c>
      <c r="AJ62" s="11">
        <v>108</v>
      </c>
      <c r="AM62" s="11">
        <v>579</v>
      </c>
      <c r="AN62" s="11">
        <v>146</v>
      </c>
      <c r="AO62" s="12">
        <v>0</v>
      </c>
      <c r="AP62" s="12">
        <f>0</f>
        <v>0</v>
      </c>
      <c r="AQ62" s="12">
        <f>0</f>
        <v>0</v>
      </c>
      <c r="AR62" s="12">
        <f>0</f>
        <v>0</v>
      </c>
      <c r="AS62" s="12">
        <v>0</v>
      </c>
      <c r="AT62" s="12">
        <v>0</v>
      </c>
      <c r="AU62" s="12">
        <v>1</v>
      </c>
      <c r="AV62" s="12">
        <v>1</v>
      </c>
      <c r="AW62" s="12">
        <v>1</v>
      </c>
      <c r="AX62" s="12">
        <v>0</v>
      </c>
      <c r="AY62" s="12">
        <v>0</v>
      </c>
      <c r="AZ62" s="12">
        <v>0</v>
      </c>
      <c r="BA62" s="12">
        <v>0</v>
      </c>
      <c r="BB62" s="12">
        <v>0</v>
      </c>
      <c r="BC62" s="12">
        <v>0</v>
      </c>
      <c r="BD62" s="12">
        <v>0</v>
      </c>
      <c r="BE62" s="12">
        <v>0</v>
      </c>
      <c r="BF62" s="12">
        <v>0</v>
      </c>
      <c r="BG62" s="12">
        <v>0</v>
      </c>
      <c r="BH62" s="12">
        <v>0</v>
      </c>
      <c r="BI62" s="12">
        <v>1</v>
      </c>
      <c r="BJ62" s="12">
        <v>1</v>
      </c>
      <c r="BK62" s="12">
        <v>1</v>
      </c>
      <c r="BL62" s="12">
        <v>1925.08</v>
      </c>
      <c r="BM62" s="12">
        <v>1533.1590000000001</v>
      </c>
      <c r="BN62" s="12">
        <v>23.867139999999999</v>
      </c>
      <c r="BO62" s="12">
        <v>15.788410000000001</v>
      </c>
      <c r="BP62" s="12">
        <v>494</v>
      </c>
      <c r="BQ62" s="12">
        <v>1279</v>
      </c>
      <c r="BR62" s="12">
        <v>1</v>
      </c>
      <c r="BS62" s="12">
        <v>1</v>
      </c>
      <c r="BT62" s="12">
        <v>274693</v>
      </c>
      <c r="BU62" s="12">
        <v>471978</v>
      </c>
      <c r="BV62" s="12">
        <v>983</v>
      </c>
      <c r="BW62" s="12">
        <v>190217</v>
      </c>
      <c r="BX62" s="12">
        <v>779</v>
      </c>
      <c r="BY62" s="12">
        <v>126300</v>
      </c>
      <c r="BZ62" s="12">
        <v>835</v>
      </c>
      <c r="CA62" s="12">
        <v>92799</v>
      </c>
      <c r="CB62" s="12">
        <v>775</v>
      </c>
      <c r="CC62" s="12">
        <v>223756</v>
      </c>
      <c r="CD62" s="12">
        <v>907</v>
      </c>
      <c r="CE62" s="12">
        <v>2440242</v>
      </c>
      <c r="CF62" s="12">
        <v>113</v>
      </c>
      <c r="CG62" s="12">
        <v>1574000</v>
      </c>
      <c r="CH62" s="11">
        <v>1</v>
      </c>
      <c r="CI62" s="11">
        <v>1</v>
      </c>
      <c r="CJ62" s="11">
        <v>1</v>
      </c>
      <c r="CK62" s="11">
        <v>1</v>
      </c>
      <c r="CL62" s="11">
        <v>1</v>
      </c>
      <c r="CM62" s="11">
        <v>1</v>
      </c>
      <c r="CN62" s="11">
        <v>1</v>
      </c>
      <c r="CO62" s="29">
        <v>1</v>
      </c>
      <c r="CP62" s="29">
        <v>1</v>
      </c>
      <c r="CQ62" s="29">
        <v>1</v>
      </c>
      <c r="CR62" s="29">
        <v>1</v>
      </c>
      <c r="CS62" s="11">
        <v>1</v>
      </c>
      <c r="CT62" s="30">
        <v>29.666666666666668</v>
      </c>
      <c r="CU62" s="30">
        <v>37</v>
      </c>
      <c r="CV62" s="12">
        <v>0</v>
      </c>
      <c r="CW62" s="12">
        <v>0</v>
      </c>
      <c r="CX62" s="11">
        <v>0</v>
      </c>
      <c r="CY62" s="11">
        <v>0</v>
      </c>
      <c r="CZ62" s="11">
        <v>0</v>
      </c>
      <c r="DA62" s="11">
        <v>0</v>
      </c>
      <c r="DB62" s="11">
        <v>0</v>
      </c>
      <c r="DC62" s="11">
        <v>0</v>
      </c>
      <c r="DD62" s="11">
        <v>0</v>
      </c>
      <c r="DG62" s="11">
        <v>130.75800000000001</v>
      </c>
      <c r="DH62" s="11">
        <v>618.60199999999998</v>
      </c>
      <c r="DI62" s="12">
        <v>108787.11285758173</v>
      </c>
      <c r="DJ62" s="12">
        <v>67454</v>
      </c>
      <c r="DK62" s="12">
        <v>29468</v>
      </c>
      <c r="DL62" s="12">
        <v>167997</v>
      </c>
      <c r="DM62" s="12">
        <v>271770</v>
      </c>
      <c r="DN62" s="12">
        <v>429850</v>
      </c>
      <c r="DO62" s="12">
        <v>417926</v>
      </c>
      <c r="DP62" s="12">
        <v>506928</v>
      </c>
      <c r="DQ62" s="12">
        <v>756819</v>
      </c>
      <c r="DR62" s="12">
        <v>1407165</v>
      </c>
      <c r="DS62" s="12">
        <v>1573810</v>
      </c>
      <c r="DT62" s="12">
        <v>1702298</v>
      </c>
      <c r="DU62" s="12">
        <v>2174062</v>
      </c>
      <c r="DV62" s="12">
        <v>2676919</v>
      </c>
      <c r="DW62" s="12">
        <v>3129383</v>
      </c>
      <c r="DX62" s="12">
        <v>3307084</v>
      </c>
      <c r="DY62" s="12">
        <v>3618303</v>
      </c>
      <c r="DZ62" s="12">
        <v>4027947</v>
      </c>
      <c r="EE62" s="11">
        <f t="shared" si="1"/>
        <v>1</v>
      </c>
      <c r="EF62" s="11">
        <v>0</v>
      </c>
      <c r="EG62" s="11">
        <v>0</v>
      </c>
      <c r="EH62" s="11">
        <v>0</v>
      </c>
      <c r="EI62" s="11">
        <v>1</v>
      </c>
      <c r="EJ62" s="11">
        <v>0</v>
      </c>
      <c r="EK62" s="11">
        <v>0</v>
      </c>
      <c r="EL62" s="11">
        <v>0</v>
      </c>
      <c r="EM62" s="11">
        <v>0</v>
      </c>
      <c r="EN62" s="11">
        <v>1</v>
      </c>
      <c r="EO62" s="11">
        <v>0</v>
      </c>
      <c r="EP62" s="11">
        <v>0</v>
      </c>
      <c r="EQ62" s="11">
        <v>0.26036830298920133</v>
      </c>
      <c r="ER62" s="11">
        <v>0.32943815535500026</v>
      </c>
      <c r="ES62" s="11">
        <v>0.19891491470603578</v>
      </c>
      <c r="ET62" s="11">
        <v>8.8841358443319945E-2</v>
      </c>
      <c r="EU62" s="11">
        <v>9.2724351618085841</v>
      </c>
      <c r="EV62" s="11">
        <v>2.9231093000000001</v>
      </c>
    </row>
    <row r="63" spans="1:152" x14ac:dyDescent="0.2">
      <c r="E63" s="27"/>
      <c r="M63" s="11"/>
      <c r="N63" s="11"/>
      <c r="CF63" s="29"/>
      <c r="CG63" s="29"/>
      <c r="CH63" s="29"/>
      <c r="CI63" s="29"/>
      <c r="CO63" s="11"/>
      <c r="CP63" s="11"/>
      <c r="CQ63" s="11"/>
      <c r="CR63" s="11"/>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7"/>
  <sheetViews>
    <sheetView workbookViewId="0">
      <selection activeCell="P35" sqref="P35"/>
    </sheetView>
  </sheetViews>
  <sheetFormatPr defaultRowHeight="15" x14ac:dyDescent="0.25"/>
  <cols>
    <col min="1" max="1" width="53.5703125" style="43" customWidth="1"/>
    <col min="2" max="2" width="34.85546875" style="43" customWidth="1"/>
    <col min="3" max="4" width="9.140625" style="34"/>
    <col min="5" max="5" width="16.28515625" style="45" customWidth="1"/>
    <col min="6" max="6" width="13.7109375" style="45" customWidth="1"/>
    <col min="7" max="7" width="1.42578125" style="45" customWidth="1"/>
    <col min="8" max="8" width="19.140625" style="45" customWidth="1"/>
    <col min="9" max="9" width="9.140625" style="45"/>
    <col min="10" max="10" width="3" style="45" customWidth="1"/>
    <col min="11" max="11" width="19.140625" style="45" customWidth="1"/>
    <col min="12" max="12" width="9.140625" style="45"/>
    <col min="13" max="16384" width="9.140625" style="34"/>
  </cols>
  <sheetData>
    <row r="1" spans="1:12" ht="15.75" thickBot="1" x14ac:dyDescent="0.3"/>
    <row r="2" spans="1:12" ht="17.25" thickTop="1" thickBot="1" x14ac:dyDescent="0.3">
      <c r="A2" s="35" t="s">
        <v>399</v>
      </c>
      <c r="B2" s="36" t="s">
        <v>400</v>
      </c>
      <c r="E2" s="69" t="s">
        <v>486</v>
      </c>
      <c r="F2" s="69"/>
      <c r="G2" s="69"/>
      <c r="H2" s="69"/>
      <c r="I2" s="69"/>
      <c r="J2" s="69"/>
      <c r="K2" s="69"/>
      <c r="L2" s="47"/>
    </row>
    <row r="3" spans="1:12" ht="15.75" thickTop="1" x14ac:dyDescent="0.25">
      <c r="A3" s="37" t="s">
        <v>401</v>
      </c>
      <c r="B3" s="38" t="s">
        <v>402</v>
      </c>
      <c r="E3" s="48" t="s">
        <v>487</v>
      </c>
      <c r="F3" s="49"/>
      <c r="G3" s="49"/>
      <c r="H3" s="48" t="s">
        <v>488</v>
      </c>
      <c r="I3" s="49"/>
      <c r="J3" s="49"/>
      <c r="K3" s="50" t="s">
        <v>489</v>
      </c>
      <c r="L3" s="49"/>
    </row>
    <row r="4" spans="1:12" ht="15.75" thickBot="1" x14ac:dyDescent="0.3">
      <c r="A4" s="37" t="s">
        <v>403</v>
      </c>
      <c r="B4" s="38" t="s">
        <v>404</v>
      </c>
      <c r="E4" s="70" t="s">
        <v>490</v>
      </c>
      <c r="F4" s="70"/>
      <c r="G4" s="49"/>
      <c r="H4" s="63" t="s">
        <v>491</v>
      </c>
      <c r="I4" s="63"/>
      <c r="J4" s="49"/>
      <c r="K4" s="70" t="s">
        <v>492</v>
      </c>
      <c r="L4" s="70"/>
    </row>
    <row r="5" spans="1:12" x14ac:dyDescent="0.25">
      <c r="A5" s="37" t="s">
        <v>405</v>
      </c>
      <c r="B5" s="38" t="s">
        <v>406</v>
      </c>
      <c r="E5" s="51" t="s">
        <v>1</v>
      </c>
      <c r="F5" s="52">
        <v>0</v>
      </c>
      <c r="G5" s="49"/>
      <c r="H5" s="53" t="s">
        <v>15</v>
      </c>
      <c r="I5" s="54">
        <v>0</v>
      </c>
      <c r="J5" s="49"/>
      <c r="K5" s="53" t="s">
        <v>18</v>
      </c>
      <c r="L5" s="54">
        <v>0</v>
      </c>
    </row>
    <row r="6" spans="1:12" x14ac:dyDescent="0.25">
      <c r="A6" s="37" t="s">
        <v>407</v>
      </c>
      <c r="B6" s="38" t="s">
        <v>408</v>
      </c>
      <c r="E6" s="55" t="s">
        <v>2</v>
      </c>
      <c r="F6" s="56">
        <v>48</v>
      </c>
      <c r="G6" s="49"/>
      <c r="H6" s="57" t="s">
        <v>58</v>
      </c>
      <c r="I6" s="56">
        <v>90</v>
      </c>
      <c r="J6" s="49"/>
      <c r="K6" s="57" t="s">
        <v>49</v>
      </c>
      <c r="L6" s="56">
        <v>32</v>
      </c>
    </row>
    <row r="7" spans="1:12" x14ac:dyDescent="0.25">
      <c r="A7" s="37" t="s">
        <v>409</v>
      </c>
      <c r="B7" s="38" t="s">
        <v>408</v>
      </c>
      <c r="E7" s="55" t="s">
        <v>32</v>
      </c>
      <c r="F7" s="56">
        <v>100</v>
      </c>
      <c r="G7" s="49"/>
      <c r="H7" s="57" t="s">
        <v>22</v>
      </c>
      <c r="I7" s="56">
        <v>100</v>
      </c>
      <c r="J7" s="49"/>
      <c r="K7" s="57" t="s">
        <v>493</v>
      </c>
      <c r="L7" s="56">
        <v>87</v>
      </c>
    </row>
    <row r="8" spans="1:12" x14ac:dyDescent="0.25">
      <c r="A8" s="37" t="s">
        <v>410</v>
      </c>
      <c r="B8" s="38" t="s">
        <v>408</v>
      </c>
      <c r="E8" s="55" t="s">
        <v>3</v>
      </c>
      <c r="F8" s="56">
        <v>134</v>
      </c>
      <c r="G8" s="49"/>
      <c r="H8" s="57" t="s">
        <v>13</v>
      </c>
      <c r="I8" s="56">
        <v>103</v>
      </c>
      <c r="J8" s="49"/>
      <c r="K8" s="57" t="s">
        <v>60</v>
      </c>
      <c r="L8" s="56">
        <v>145</v>
      </c>
    </row>
    <row r="9" spans="1:12" x14ac:dyDescent="0.25">
      <c r="A9" s="37" t="s">
        <v>411</v>
      </c>
      <c r="B9" s="38" t="s">
        <v>408</v>
      </c>
      <c r="E9" s="55" t="s">
        <v>53</v>
      </c>
      <c r="F9" s="56">
        <v>137</v>
      </c>
      <c r="G9" s="49"/>
      <c r="H9" s="57" t="s">
        <v>57</v>
      </c>
      <c r="I9" s="56">
        <v>119</v>
      </c>
      <c r="J9" s="49"/>
      <c r="K9" s="57" t="s">
        <v>19</v>
      </c>
      <c r="L9" s="56">
        <v>159</v>
      </c>
    </row>
    <row r="10" spans="1:12" x14ac:dyDescent="0.25">
      <c r="A10" s="39" t="s">
        <v>412</v>
      </c>
      <c r="B10" s="40"/>
      <c r="E10" s="55" t="s">
        <v>39</v>
      </c>
      <c r="F10" s="56">
        <v>145</v>
      </c>
      <c r="G10" s="49"/>
      <c r="H10" s="57" t="s">
        <v>12</v>
      </c>
      <c r="I10" s="56">
        <v>150</v>
      </c>
      <c r="J10" s="49"/>
      <c r="K10" s="64" t="s">
        <v>494</v>
      </c>
      <c r="L10" s="64"/>
    </row>
    <row r="11" spans="1:12" ht="15.75" thickBot="1" x14ac:dyDescent="0.3">
      <c r="A11" s="37" t="s">
        <v>413</v>
      </c>
      <c r="B11" s="40"/>
      <c r="E11" s="55" t="s">
        <v>33</v>
      </c>
      <c r="F11" s="56">
        <v>156</v>
      </c>
      <c r="G11" s="49"/>
      <c r="H11" s="57" t="s">
        <v>495</v>
      </c>
      <c r="I11" s="56">
        <v>172</v>
      </c>
      <c r="J11" s="49"/>
      <c r="K11" s="63" t="s">
        <v>492</v>
      </c>
      <c r="L11" s="63"/>
    </row>
    <row r="12" spans="1:12" x14ac:dyDescent="0.25">
      <c r="A12" s="37" t="s">
        <v>15</v>
      </c>
      <c r="B12" s="40"/>
      <c r="E12" s="55" t="s">
        <v>38</v>
      </c>
      <c r="F12" s="56">
        <v>159</v>
      </c>
      <c r="G12" s="49"/>
      <c r="H12" s="57" t="s">
        <v>46</v>
      </c>
      <c r="I12" s="56">
        <v>172</v>
      </c>
      <c r="J12" s="49"/>
      <c r="K12" s="57" t="s">
        <v>50</v>
      </c>
      <c r="L12" s="58">
        <v>209</v>
      </c>
    </row>
    <row r="13" spans="1:12" x14ac:dyDescent="0.25">
      <c r="A13" s="37" t="s">
        <v>18</v>
      </c>
      <c r="B13" s="40"/>
      <c r="E13" s="55" t="s">
        <v>52</v>
      </c>
      <c r="F13" s="56">
        <v>161</v>
      </c>
      <c r="G13" s="49"/>
      <c r="H13" s="64" t="s">
        <v>496</v>
      </c>
      <c r="I13" s="64"/>
      <c r="J13" s="49"/>
      <c r="K13" s="57" t="s">
        <v>29</v>
      </c>
      <c r="L13" s="56">
        <v>254</v>
      </c>
    </row>
    <row r="14" spans="1:12" ht="15.75" thickBot="1" x14ac:dyDescent="0.3">
      <c r="A14" s="37" t="s">
        <v>414</v>
      </c>
      <c r="B14" s="40"/>
      <c r="E14" s="55" t="s">
        <v>34</v>
      </c>
      <c r="F14" s="56">
        <v>164</v>
      </c>
      <c r="G14" s="49"/>
      <c r="H14" s="63" t="s">
        <v>491</v>
      </c>
      <c r="I14" s="63"/>
      <c r="J14" s="49"/>
      <c r="K14" s="57" t="s">
        <v>48</v>
      </c>
      <c r="L14" s="56">
        <v>259</v>
      </c>
    </row>
    <row r="15" spans="1:12" x14ac:dyDescent="0.25">
      <c r="A15" s="37" t="s">
        <v>415</v>
      </c>
      <c r="B15" s="40"/>
      <c r="E15" s="55" t="s">
        <v>0</v>
      </c>
      <c r="F15" s="56">
        <v>174</v>
      </c>
      <c r="G15" s="49"/>
      <c r="H15" s="57" t="s">
        <v>11</v>
      </c>
      <c r="I15" s="58">
        <v>203</v>
      </c>
      <c r="J15" s="49"/>
      <c r="K15" s="57" t="s">
        <v>17</v>
      </c>
      <c r="L15" s="56">
        <v>323</v>
      </c>
    </row>
    <row r="16" spans="1:12" x14ac:dyDescent="0.25">
      <c r="A16" s="37" t="s">
        <v>416</v>
      </c>
      <c r="B16" s="40"/>
      <c r="E16" s="55" t="s">
        <v>31</v>
      </c>
      <c r="F16" s="56">
        <v>183</v>
      </c>
      <c r="G16" s="49"/>
      <c r="H16" s="57" t="s">
        <v>43</v>
      </c>
      <c r="I16" s="56">
        <v>212</v>
      </c>
      <c r="J16" s="49"/>
      <c r="K16" s="57" t="s">
        <v>47</v>
      </c>
      <c r="L16" s="56">
        <v>346</v>
      </c>
    </row>
    <row r="17" spans="1:12" x14ac:dyDescent="0.25">
      <c r="A17" s="37" t="s">
        <v>20</v>
      </c>
      <c r="B17" s="40"/>
      <c r="E17" s="65" t="s">
        <v>497</v>
      </c>
      <c r="F17" s="65"/>
      <c r="G17" s="49"/>
      <c r="H17" s="57" t="s">
        <v>54</v>
      </c>
      <c r="I17" s="56">
        <v>269</v>
      </c>
      <c r="J17" s="49"/>
      <c r="K17" s="57" t="s">
        <v>16</v>
      </c>
      <c r="L17" s="56">
        <v>441</v>
      </c>
    </row>
    <row r="18" spans="1:12" x14ac:dyDescent="0.25">
      <c r="A18" s="37" t="s">
        <v>417</v>
      </c>
      <c r="B18" s="38" t="s">
        <v>418</v>
      </c>
      <c r="E18" s="66" t="s">
        <v>490</v>
      </c>
      <c r="F18" s="66"/>
      <c r="G18" s="49"/>
      <c r="H18" s="57" t="s">
        <v>28</v>
      </c>
      <c r="I18" s="56">
        <v>298</v>
      </c>
      <c r="J18" s="49"/>
      <c r="K18" s="48" t="s">
        <v>498</v>
      </c>
      <c r="L18" s="49"/>
    </row>
    <row r="19" spans="1:12" ht="15.75" thickBot="1" x14ac:dyDescent="0.3">
      <c r="A19" s="37" t="s">
        <v>419</v>
      </c>
      <c r="B19" s="38" t="s">
        <v>402</v>
      </c>
      <c r="E19" s="55" t="s">
        <v>35</v>
      </c>
      <c r="F19" s="56">
        <v>214</v>
      </c>
      <c r="G19" s="49"/>
      <c r="H19" s="57" t="s">
        <v>56</v>
      </c>
      <c r="I19" s="56">
        <v>299</v>
      </c>
      <c r="J19" s="49"/>
      <c r="K19" s="63" t="s">
        <v>499</v>
      </c>
      <c r="L19" s="63"/>
    </row>
    <row r="20" spans="1:12" x14ac:dyDescent="0.25">
      <c r="A20" s="41" t="s">
        <v>420</v>
      </c>
      <c r="B20" s="38" t="s">
        <v>408</v>
      </c>
      <c r="E20" s="55" t="s">
        <v>4</v>
      </c>
      <c r="F20" s="56">
        <v>220</v>
      </c>
      <c r="G20" s="49"/>
      <c r="H20" s="57" t="s">
        <v>9</v>
      </c>
      <c r="I20" s="56">
        <v>317</v>
      </c>
      <c r="J20" s="49"/>
      <c r="K20" s="53" t="s">
        <v>20</v>
      </c>
      <c r="L20" s="54">
        <v>0</v>
      </c>
    </row>
    <row r="21" spans="1:12" x14ac:dyDescent="0.25">
      <c r="A21" s="41" t="s">
        <v>421</v>
      </c>
      <c r="B21" s="38" t="s">
        <v>422</v>
      </c>
      <c r="E21" s="55" t="s">
        <v>5</v>
      </c>
      <c r="F21" s="56">
        <v>245</v>
      </c>
      <c r="G21" s="49"/>
      <c r="H21" s="57" t="s">
        <v>55</v>
      </c>
      <c r="I21" s="56">
        <v>319</v>
      </c>
      <c r="J21" s="49"/>
      <c r="K21" s="57" t="s">
        <v>61</v>
      </c>
      <c r="L21" s="56">
        <v>55</v>
      </c>
    </row>
    <row r="22" spans="1:12" x14ac:dyDescent="0.25">
      <c r="A22" s="41" t="s">
        <v>423</v>
      </c>
      <c r="B22" s="38" t="s">
        <v>422</v>
      </c>
      <c r="E22" s="55" t="s">
        <v>36</v>
      </c>
      <c r="F22" s="56">
        <v>299</v>
      </c>
      <c r="G22" s="49"/>
      <c r="H22" s="57" t="s">
        <v>45</v>
      </c>
      <c r="I22" s="56">
        <v>330</v>
      </c>
      <c r="J22" s="49"/>
      <c r="K22" s="57" t="s">
        <v>51</v>
      </c>
      <c r="L22" s="56">
        <v>80</v>
      </c>
    </row>
    <row r="23" spans="1:12" x14ac:dyDescent="0.25">
      <c r="A23" s="41" t="s">
        <v>424</v>
      </c>
      <c r="B23" s="38" t="s">
        <v>425</v>
      </c>
      <c r="E23" s="55" t="s">
        <v>24</v>
      </c>
      <c r="F23" s="56">
        <v>320</v>
      </c>
      <c r="G23" s="49"/>
      <c r="H23" s="57" t="s">
        <v>8</v>
      </c>
      <c r="I23" s="56">
        <v>341</v>
      </c>
      <c r="J23" s="49"/>
      <c r="K23" s="57" t="s">
        <v>62</v>
      </c>
      <c r="L23" s="56">
        <v>90</v>
      </c>
    </row>
    <row r="24" spans="1:12" x14ac:dyDescent="0.25">
      <c r="A24" s="41" t="s">
        <v>426</v>
      </c>
      <c r="B24" s="38" t="s">
        <v>427</v>
      </c>
      <c r="E24" s="49"/>
      <c r="F24" s="49"/>
      <c r="G24" s="49"/>
      <c r="H24" s="57" t="s">
        <v>10</v>
      </c>
      <c r="I24" s="56">
        <v>370</v>
      </c>
      <c r="J24" s="49"/>
      <c r="K24" s="57" t="s">
        <v>26</v>
      </c>
      <c r="L24" s="56">
        <v>117</v>
      </c>
    </row>
    <row r="25" spans="1:12" x14ac:dyDescent="0.25">
      <c r="A25" s="41"/>
      <c r="B25" s="38"/>
      <c r="E25" s="49"/>
      <c r="F25" s="49"/>
      <c r="G25" s="49"/>
      <c r="H25" s="57" t="s">
        <v>44</v>
      </c>
      <c r="I25" s="56">
        <v>370</v>
      </c>
      <c r="J25" s="49"/>
      <c r="K25" s="57" t="s">
        <v>30</v>
      </c>
      <c r="L25" s="56">
        <v>159</v>
      </c>
    </row>
    <row r="26" spans="1:12" x14ac:dyDescent="0.25">
      <c r="A26" s="41" t="s">
        <v>428</v>
      </c>
      <c r="B26" s="38" t="s">
        <v>429</v>
      </c>
      <c r="E26" s="49"/>
      <c r="F26" s="49"/>
      <c r="G26" s="49"/>
      <c r="H26" s="57" t="s">
        <v>41</v>
      </c>
      <c r="I26" s="56">
        <v>468</v>
      </c>
      <c r="J26" s="49"/>
      <c r="K26" s="57" t="s">
        <v>21</v>
      </c>
      <c r="L26" s="56">
        <v>224</v>
      </c>
    </row>
    <row r="27" spans="1:12" ht="15.75" x14ac:dyDescent="0.25">
      <c r="A27" s="41" t="s">
        <v>430</v>
      </c>
      <c r="B27" s="38" t="s">
        <v>429</v>
      </c>
      <c r="E27" s="49"/>
      <c r="F27" s="49"/>
      <c r="G27" s="49"/>
      <c r="H27" s="57" t="s">
        <v>7</v>
      </c>
      <c r="I27" s="56">
        <v>575</v>
      </c>
      <c r="J27" s="49"/>
      <c r="K27" s="62"/>
      <c r="L27" s="62"/>
    </row>
    <row r="28" spans="1:12" ht="15.75" thickBot="1" x14ac:dyDescent="0.3">
      <c r="A28" s="37" t="s">
        <v>431</v>
      </c>
      <c r="B28" s="38" t="s">
        <v>432</v>
      </c>
      <c r="E28" s="59"/>
      <c r="F28" s="59"/>
      <c r="G28" s="59"/>
      <c r="H28" s="59"/>
      <c r="I28" s="59"/>
      <c r="J28" s="59"/>
      <c r="K28" s="59"/>
      <c r="L28" s="59"/>
    </row>
    <row r="29" spans="1:12" ht="15.75" thickTop="1" x14ac:dyDescent="0.25">
      <c r="A29" s="37" t="s">
        <v>433</v>
      </c>
      <c r="B29" s="38" t="s">
        <v>432</v>
      </c>
      <c r="E29" s="46"/>
      <c r="F29" s="46"/>
      <c r="G29" s="46"/>
      <c r="H29" s="46"/>
      <c r="I29" s="46"/>
      <c r="J29" s="46"/>
      <c r="K29" s="46"/>
      <c r="L29" s="46"/>
    </row>
    <row r="30" spans="1:12" x14ac:dyDescent="0.25">
      <c r="A30" s="37" t="s">
        <v>434</v>
      </c>
      <c r="B30" s="38" t="s">
        <v>432</v>
      </c>
    </row>
    <row r="31" spans="1:12" x14ac:dyDescent="0.25">
      <c r="A31" s="37" t="s">
        <v>435</v>
      </c>
      <c r="B31" s="38" t="s">
        <v>402</v>
      </c>
    </row>
    <row r="32" spans="1:12" x14ac:dyDescent="0.25">
      <c r="A32" s="37" t="s">
        <v>436</v>
      </c>
      <c r="B32" s="38" t="s">
        <v>402</v>
      </c>
    </row>
    <row r="33" spans="1:2" x14ac:dyDescent="0.25">
      <c r="A33" s="37" t="s">
        <v>437</v>
      </c>
      <c r="B33" s="38" t="s">
        <v>438</v>
      </c>
    </row>
    <row r="34" spans="1:2" x14ac:dyDescent="0.25">
      <c r="A34" s="37" t="s">
        <v>439</v>
      </c>
      <c r="B34" s="38" t="s">
        <v>438</v>
      </c>
    </row>
    <row r="35" spans="1:2" x14ac:dyDescent="0.25">
      <c r="A35" s="37" t="s">
        <v>440</v>
      </c>
      <c r="B35" s="38" t="s">
        <v>438</v>
      </c>
    </row>
    <row r="36" spans="1:2" x14ac:dyDescent="0.25">
      <c r="A36" s="37" t="s">
        <v>441</v>
      </c>
      <c r="B36" s="38" t="s">
        <v>427</v>
      </c>
    </row>
    <row r="37" spans="1:2" x14ac:dyDescent="0.25">
      <c r="A37" s="37" t="s">
        <v>442</v>
      </c>
      <c r="B37" s="38" t="s">
        <v>427</v>
      </c>
    </row>
    <row r="38" spans="1:2" x14ac:dyDescent="0.25">
      <c r="A38" s="37" t="s">
        <v>443</v>
      </c>
      <c r="B38" s="38" t="s">
        <v>444</v>
      </c>
    </row>
    <row r="39" spans="1:2" x14ac:dyDescent="0.25">
      <c r="A39" s="37" t="s">
        <v>445</v>
      </c>
      <c r="B39" s="38" t="s">
        <v>444</v>
      </c>
    </row>
    <row r="40" spans="1:2" x14ac:dyDescent="0.25">
      <c r="A40" s="37" t="s">
        <v>446</v>
      </c>
      <c r="B40" s="38" t="s">
        <v>444</v>
      </c>
    </row>
    <row r="41" spans="1:2" x14ac:dyDescent="0.25">
      <c r="A41" s="37" t="s">
        <v>447</v>
      </c>
      <c r="B41" s="38" t="s">
        <v>444</v>
      </c>
    </row>
    <row r="42" spans="1:2" x14ac:dyDescent="0.25">
      <c r="A42" s="37" t="s">
        <v>448</v>
      </c>
      <c r="B42" s="38" t="s">
        <v>408</v>
      </c>
    </row>
    <row r="43" spans="1:2" x14ac:dyDescent="0.25">
      <c r="A43" s="37" t="s">
        <v>449</v>
      </c>
      <c r="B43" s="38" t="s">
        <v>408</v>
      </c>
    </row>
    <row r="44" spans="1:2" x14ac:dyDescent="0.25">
      <c r="A44" s="37" t="s">
        <v>450</v>
      </c>
      <c r="B44" s="38" t="s">
        <v>427</v>
      </c>
    </row>
    <row r="45" spans="1:2" x14ac:dyDescent="0.25">
      <c r="A45" s="37" t="s">
        <v>451</v>
      </c>
      <c r="B45" s="38" t="s">
        <v>452</v>
      </c>
    </row>
    <row r="46" spans="1:2" x14ac:dyDescent="0.25">
      <c r="A46" s="37" t="s">
        <v>453</v>
      </c>
      <c r="B46" s="38" t="s">
        <v>452</v>
      </c>
    </row>
    <row r="47" spans="1:2" x14ac:dyDescent="0.25">
      <c r="A47" s="37" t="s">
        <v>454</v>
      </c>
      <c r="B47" s="38" t="s">
        <v>452</v>
      </c>
    </row>
    <row r="48" spans="1:2" x14ac:dyDescent="0.25">
      <c r="A48" s="37" t="s">
        <v>455</v>
      </c>
      <c r="B48" s="38" t="s">
        <v>452</v>
      </c>
    </row>
    <row r="49" spans="1:2" x14ac:dyDescent="0.25">
      <c r="A49" s="37" t="s">
        <v>456</v>
      </c>
      <c r="B49" s="38" t="s">
        <v>402</v>
      </c>
    </row>
    <row r="50" spans="1:2" x14ac:dyDescent="0.25">
      <c r="A50" s="37" t="s">
        <v>457</v>
      </c>
      <c r="B50" s="38" t="s">
        <v>458</v>
      </c>
    </row>
    <row r="51" spans="1:2" x14ac:dyDescent="0.25">
      <c r="A51" s="37" t="s">
        <v>459</v>
      </c>
      <c r="B51" s="38" t="s">
        <v>458</v>
      </c>
    </row>
    <row r="52" spans="1:2" x14ac:dyDescent="0.25">
      <c r="A52" s="37" t="s">
        <v>460</v>
      </c>
      <c r="B52" s="38" t="s">
        <v>458</v>
      </c>
    </row>
    <row r="53" spans="1:2" x14ac:dyDescent="0.25">
      <c r="A53" s="37" t="s">
        <v>461</v>
      </c>
      <c r="B53" s="38" t="s">
        <v>462</v>
      </c>
    </row>
    <row r="54" spans="1:2" x14ac:dyDescent="0.25">
      <c r="A54" s="37" t="s">
        <v>463</v>
      </c>
      <c r="B54" s="38" t="s">
        <v>462</v>
      </c>
    </row>
    <row r="55" spans="1:2" x14ac:dyDescent="0.25">
      <c r="A55" s="37" t="s">
        <v>464</v>
      </c>
      <c r="B55" s="38" t="s">
        <v>462</v>
      </c>
    </row>
    <row r="56" spans="1:2" x14ac:dyDescent="0.25">
      <c r="A56" s="37" t="s">
        <v>465</v>
      </c>
      <c r="B56" s="38" t="s">
        <v>462</v>
      </c>
    </row>
    <row r="57" spans="1:2" x14ac:dyDescent="0.25">
      <c r="A57" s="37" t="s">
        <v>466</v>
      </c>
      <c r="B57" s="38" t="s">
        <v>427</v>
      </c>
    </row>
    <row r="58" spans="1:2" x14ac:dyDescent="0.25">
      <c r="A58" s="37" t="s">
        <v>467</v>
      </c>
      <c r="B58" s="38" t="s">
        <v>427</v>
      </c>
    </row>
    <row r="59" spans="1:2" x14ac:dyDescent="0.25">
      <c r="A59" s="37" t="s">
        <v>468</v>
      </c>
      <c r="B59" s="38" t="s">
        <v>427</v>
      </c>
    </row>
    <row r="60" spans="1:2" x14ac:dyDescent="0.25">
      <c r="A60" s="37" t="s">
        <v>469</v>
      </c>
      <c r="B60" s="38" t="s">
        <v>427</v>
      </c>
    </row>
    <row r="61" spans="1:2" x14ac:dyDescent="0.25">
      <c r="A61" s="37" t="s">
        <v>470</v>
      </c>
      <c r="B61" s="38" t="s">
        <v>471</v>
      </c>
    </row>
    <row r="62" spans="1:2" x14ac:dyDescent="0.25">
      <c r="A62" s="37" t="s">
        <v>472</v>
      </c>
      <c r="B62" s="38" t="s">
        <v>471</v>
      </c>
    </row>
    <row r="63" spans="1:2" x14ac:dyDescent="0.25">
      <c r="A63" s="37" t="s">
        <v>473</v>
      </c>
      <c r="B63" s="38" t="s">
        <v>471</v>
      </c>
    </row>
    <row r="64" spans="1:2" x14ac:dyDescent="0.25">
      <c r="A64" s="37" t="s">
        <v>474</v>
      </c>
      <c r="B64" s="38" t="s">
        <v>471</v>
      </c>
    </row>
    <row r="65" spans="1:2" x14ac:dyDescent="0.25">
      <c r="A65" s="37" t="s">
        <v>475</v>
      </c>
      <c r="B65" s="38" t="s">
        <v>427</v>
      </c>
    </row>
    <row r="66" spans="1:2" x14ac:dyDescent="0.25">
      <c r="A66" s="37" t="s">
        <v>476</v>
      </c>
      <c r="B66" s="38" t="s">
        <v>427</v>
      </c>
    </row>
    <row r="67" spans="1:2" x14ac:dyDescent="0.25">
      <c r="A67" s="37" t="s">
        <v>477</v>
      </c>
      <c r="B67" s="38" t="s">
        <v>427</v>
      </c>
    </row>
    <row r="68" spans="1:2" x14ac:dyDescent="0.25">
      <c r="A68" s="37" t="s">
        <v>478</v>
      </c>
      <c r="B68" s="38" t="s">
        <v>427</v>
      </c>
    </row>
    <row r="69" spans="1:2" x14ac:dyDescent="0.25">
      <c r="A69" s="37" t="s">
        <v>479</v>
      </c>
      <c r="B69" s="38" t="s">
        <v>427</v>
      </c>
    </row>
    <row r="70" spans="1:2" x14ac:dyDescent="0.25">
      <c r="A70" s="37" t="s">
        <v>480</v>
      </c>
      <c r="B70" s="38" t="s">
        <v>427</v>
      </c>
    </row>
    <row r="71" spans="1:2" x14ac:dyDescent="0.25">
      <c r="A71" s="37" t="s">
        <v>481</v>
      </c>
      <c r="B71" s="38" t="s">
        <v>427</v>
      </c>
    </row>
    <row r="72" spans="1:2" x14ac:dyDescent="0.25">
      <c r="A72" s="37" t="s">
        <v>482</v>
      </c>
      <c r="B72" s="38" t="s">
        <v>427</v>
      </c>
    </row>
    <row r="73" spans="1:2" ht="15.75" thickBot="1" x14ac:dyDescent="0.3">
      <c r="A73" s="44" t="s">
        <v>483</v>
      </c>
      <c r="B73" s="42" t="s">
        <v>444</v>
      </c>
    </row>
    <row r="74" spans="1:2" ht="10.5" customHeight="1" thickTop="1" x14ac:dyDescent="0.25">
      <c r="A74" s="37"/>
      <c r="B74" s="38"/>
    </row>
    <row r="75" spans="1:2" ht="54" customHeight="1" x14ac:dyDescent="0.25">
      <c r="A75" s="67" t="s">
        <v>484</v>
      </c>
      <c r="B75" s="67"/>
    </row>
    <row r="76" spans="1:2" ht="27.75" customHeight="1" x14ac:dyDescent="0.25">
      <c r="A76" s="67" t="s">
        <v>485</v>
      </c>
      <c r="B76" s="67"/>
    </row>
    <row r="77" spans="1:2" x14ac:dyDescent="0.25">
      <c r="A77" s="68"/>
      <c r="B77" s="68"/>
    </row>
  </sheetData>
  <mergeCells count="15">
    <mergeCell ref="A75:B75"/>
    <mergeCell ref="A76:B76"/>
    <mergeCell ref="A77:B77"/>
    <mergeCell ref="E2:K2"/>
    <mergeCell ref="E4:F4"/>
    <mergeCell ref="H4:I4"/>
    <mergeCell ref="K4:L4"/>
    <mergeCell ref="K10:L10"/>
    <mergeCell ref="K27:L27"/>
    <mergeCell ref="K11:L11"/>
    <mergeCell ref="H13:I13"/>
    <mergeCell ref="H14:I14"/>
    <mergeCell ref="E17:F17"/>
    <mergeCell ref="E18:F18"/>
    <mergeCell ref="K19:L19"/>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Notes</vt:lpstr>
      <vt:lpstr>final</vt:lpstr>
      <vt:lpstr>Working1</vt:lpstr>
      <vt:lpstr>Working2</vt:lpstr>
      <vt:lpstr>final-graphs</vt:lpstr>
      <vt:lpstr>Infrastructure data</vt:lpstr>
      <vt:lpstr>Data sources</vt:lpstr>
    </vt:vector>
  </TitlesOfParts>
  <Company>Alexander Tarrant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Alexander Tarrant</dc:creator>
  <cp:lastModifiedBy>Anna Robinson</cp:lastModifiedBy>
  <dcterms:created xsi:type="dcterms:W3CDTF">2013-06-04T04:37:57Z</dcterms:created>
  <dcterms:modified xsi:type="dcterms:W3CDTF">2014-10-27T22:10:04Z</dcterms:modified>
</cp:coreProperties>
</file>